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mc:AlternateContent xmlns:mc="http://schemas.openxmlformats.org/markup-compatibility/2006">
    <mc:Choice Requires="x15">
      <x15ac:absPath xmlns:x15ac="http://schemas.microsoft.com/office/spreadsheetml/2010/11/ac" url="C:\Users\Пользователь\Desktop\"/>
    </mc:Choice>
  </mc:AlternateContent>
  <bookViews>
    <workbookView xWindow="0" yWindow="0" windowWidth="28800" windowHeight="12435" tabRatio="687" firstSheet="4" activeTab="4"/>
  </bookViews>
  <sheets>
    <sheet name="Содержание" sheetId="4" r:id="rId1"/>
    <sheet name="Базовые параметры" sheetId="5" r:id="rId2"/>
    <sheet name="Исходные данные" sheetId="2" r:id="rId3"/>
    <sheet name="Градостроительная модель" sheetId="6" r:id="rId4"/>
    <sheet name="Экономическая модель проекта" sheetId="1" r:id="rId5"/>
    <sheet name="Калькулятор чувствительности" sheetId="8" r:id="rId6"/>
    <sheet name="Графики" sheetId="11" r:id="rId7"/>
    <sheet name="Вспомогательный лист (Э)" sheetId="9" r:id="rId8"/>
    <sheet name="Вспомогательный лист (Г)" sheetId="10" r:id="rId9"/>
  </sheets>
  <externalReferences>
    <externalReference r:id="rId10"/>
    <externalReference r:id="rId11"/>
  </externalReferences>
  <definedNames>
    <definedName name="_ftn1" localSheetId="1">'Базовые параметры'!$A$26</definedName>
    <definedName name="_ftnref1" localSheetId="1">'Базовые параметры'!$A$23</definedName>
    <definedName name="CAPEX_Sensitivity">'Калькулятор чувствительности'!#REF!</definedName>
    <definedName name="LCU">[1]yGeneralAssump!$C$9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24" i="11" l="1"/>
  <c r="H71" i="1"/>
  <c r="E195" i="1"/>
  <c r="D15" i="11"/>
  <c r="E15" i="11"/>
  <c r="F15" i="11"/>
  <c r="H15" i="11"/>
  <c r="I15" i="11"/>
  <c r="J15" i="11"/>
  <c r="K15" i="11"/>
  <c r="L15" i="11"/>
  <c r="C14" i="11"/>
  <c r="B14" i="11"/>
  <c r="A168" i="11"/>
  <c r="A169" i="11"/>
  <c r="A133" i="11"/>
  <c r="A134" i="11"/>
  <c r="A135" i="11"/>
  <c r="A136" i="11"/>
  <c r="A132" i="11"/>
  <c r="A131" i="11"/>
  <c r="B48" i="11"/>
  <c r="B58" i="11"/>
  <c r="C58" i="11"/>
  <c r="D58" i="11"/>
  <c r="E58" i="11"/>
  <c r="F58" i="11"/>
  <c r="G58" i="11"/>
  <c r="H58" i="11"/>
  <c r="I58" i="11"/>
  <c r="J58" i="11"/>
  <c r="K58" i="11"/>
  <c r="A48" i="11"/>
  <c r="A49" i="11"/>
  <c r="A50" i="11"/>
  <c r="A51" i="11"/>
  <c r="A52" i="11"/>
  <c r="A53" i="11"/>
  <c r="A54" i="11"/>
  <c r="A55" i="11"/>
  <c r="A56" i="11"/>
  <c r="A57" i="11"/>
  <c r="A58" i="11"/>
  <c r="A47" i="11"/>
  <c r="E71" i="10"/>
  <c r="D94" i="9"/>
  <c r="D119" i="9"/>
  <c r="D103" i="9"/>
  <c r="D104" i="9"/>
  <c r="D102" i="9"/>
  <c r="E34" i="9"/>
  <c r="F34" i="9" s="1"/>
  <c r="E32" i="9"/>
  <c r="E33" i="9" s="1"/>
  <c r="A60" i="8"/>
  <c r="A61" i="8"/>
  <c r="A62" i="8"/>
  <c r="D37" i="8"/>
  <c r="A34" i="8"/>
  <c r="E195" i="9"/>
  <c r="C134" i="9"/>
  <c r="D115" i="9"/>
  <c r="E99" i="9"/>
  <c r="F99" i="9" s="1"/>
  <c r="G99" i="9" s="1"/>
  <c r="H99" i="9" s="1"/>
  <c r="I99" i="9" s="1"/>
  <c r="J99" i="9" s="1"/>
  <c r="K99" i="9" s="1"/>
  <c r="L99" i="9" s="1"/>
  <c r="M99" i="9" s="1"/>
  <c r="N99" i="9" s="1"/>
  <c r="A89" i="9"/>
  <c r="A88" i="9"/>
  <c r="N87" i="9"/>
  <c r="M87" i="9"/>
  <c r="L87" i="9"/>
  <c r="K87" i="9"/>
  <c r="J87" i="9"/>
  <c r="I87" i="9"/>
  <c r="H87" i="9"/>
  <c r="G87" i="9"/>
  <c r="F87" i="9"/>
  <c r="A86" i="9"/>
  <c r="A85" i="9"/>
  <c r="A84" i="9"/>
  <c r="A83" i="9"/>
  <c r="N79" i="9"/>
  <c r="M79" i="9"/>
  <c r="L79" i="9"/>
  <c r="L74" i="9" s="1"/>
  <c r="K79" i="9"/>
  <c r="J79" i="9"/>
  <c r="I79" i="9"/>
  <c r="G79" i="9"/>
  <c r="G74" i="9" s="1"/>
  <c r="F79" i="9"/>
  <c r="A79" i="9"/>
  <c r="N75" i="9"/>
  <c r="M75" i="9"/>
  <c r="L75" i="9"/>
  <c r="K75" i="9"/>
  <c r="J75" i="9"/>
  <c r="I75" i="9"/>
  <c r="I74" i="9" s="1"/>
  <c r="G75" i="9"/>
  <c r="F75" i="9"/>
  <c r="A75" i="9"/>
  <c r="M74" i="9"/>
  <c r="K74" i="9"/>
  <c r="A73" i="9"/>
  <c r="A72" i="9"/>
  <c r="A71" i="9"/>
  <c r="A70" i="9"/>
  <c r="N66" i="9"/>
  <c r="N65" i="9" s="1"/>
  <c r="M66" i="9"/>
  <c r="M65" i="9" s="1"/>
  <c r="L66" i="9"/>
  <c r="K66" i="9"/>
  <c r="K65" i="9" s="1"/>
  <c r="J66" i="9"/>
  <c r="J65" i="9" s="1"/>
  <c r="I66" i="9"/>
  <c r="I65" i="9" s="1"/>
  <c r="G66" i="9"/>
  <c r="F66" i="9"/>
  <c r="F65" i="9" s="1"/>
  <c r="A66" i="9"/>
  <c r="L65" i="9"/>
  <c r="G65" i="9"/>
  <c r="D64" i="9"/>
  <c r="D59" i="9"/>
  <c r="D53" i="9"/>
  <c r="D42" i="9"/>
  <c r="E38" i="9"/>
  <c r="D38" i="9"/>
  <c r="D36" i="9"/>
  <c r="D33" i="9"/>
  <c r="E23" i="9"/>
  <c r="E13" i="9"/>
  <c r="F13" i="9" s="1"/>
  <c r="G13" i="9" s="1"/>
  <c r="H13" i="9" s="1"/>
  <c r="I13" i="9" s="1"/>
  <c r="J13" i="9" s="1"/>
  <c r="K13" i="9" s="1"/>
  <c r="L13" i="9" s="1"/>
  <c r="M13" i="9" s="1"/>
  <c r="N13" i="9" s="1"/>
  <c r="E9" i="9"/>
  <c r="F9" i="9" s="1"/>
  <c r="G9" i="9" s="1"/>
  <c r="H9" i="9" s="1"/>
  <c r="I9" i="9" s="1"/>
  <c r="J9" i="9" s="1"/>
  <c r="K9" i="9" s="1"/>
  <c r="L9" i="9" s="1"/>
  <c r="M9" i="9" s="1"/>
  <c r="N9" i="9" s="1"/>
  <c r="E1" i="9"/>
  <c r="E18" i="9" s="1"/>
  <c r="D72" i="2"/>
  <c r="D47" i="9" s="1"/>
  <c r="I66" i="1"/>
  <c r="M87" i="1"/>
  <c r="N87" i="1"/>
  <c r="G87" i="1"/>
  <c r="H87" i="1"/>
  <c r="I87" i="1"/>
  <c r="J87" i="1"/>
  <c r="K87" i="1"/>
  <c r="L87" i="1"/>
  <c r="A89" i="1"/>
  <c r="A88" i="1"/>
  <c r="A86" i="1"/>
  <c r="F79" i="1"/>
  <c r="G79" i="1"/>
  <c r="J79" i="1"/>
  <c r="K79" i="1"/>
  <c r="L79" i="1"/>
  <c r="M79" i="1"/>
  <c r="N79" i="1"/>
  <c r="A85" i="1"/>
  <c r="A84" i="1"/>
  <c r="A75" i="1"/>
  <c r="A79" i="1"/>
  <c r="A83" i="1"/>
  <c r="A73" i="1"/>
  <c r="A66" i="8" s="1"/>
  <c r="A72" i="1"/>
  <c r="A65" i="8" s="1"/>
  <c r="A71" i="1"/>
  <c r="A64" i="8" s="1"/>
  <c r="A70" i="1"/>
  <c r="A63" i="8" s="1"/>
  <c r="A66" i="1"/>
  <c r="A59" i="8" s="1"/>
  <c r="D77" i="2"/>
  <c r="D50" i="9" s="1"/>
  <c r="D22" i="2"/>
  <c r="D28" i="2"/>
  <c r="D9" i="2"/>
  <c r="D90" i="2"/>
  <c r="D196" i="9" s="1"/>
  <c r="D30" i="2"/>
  <c r="D63" i="2"/>
  <c r="D61" i="2"/>
  <c r="D60" i="2"/>
  <c r="D59" i="2"/>
  <c r="D24" i="2"/>
  <c r="D12" i="9" s="1"/>
  <c r="D88" i="2"/>
  <c r="D87" i="2"/>
  <c r="D60" i="9" s="1"/>
  <c r="D86" i="2"/>
  <c r="D58" i="1" s="1"/>
  <c r="D85" i="2"/>
  <c r="D57" i="9" s="1"/>
  <c r="D84" i="2"/>
  <c r="D83" i="2"/>
  <c r="D56" i="1" s="1"/>
  <c r="D82" i="2"/>
  <c r="D55" i="1" s="1"/>
  <c r="D81" i="2"/>
  <c r="D54" i="9" s="1"/>
  <c r="D80" i="2"/>
  <c r="D79" i="2"/>
  <c r="D52" i="9" s="1"/>
  <c r="D78" i="2"/>
  <c r="D51" i="9" s="1"/>
  <c r="D76" i="2"/>
  <c r="D49" i="9" s="1"/>
  <c r="E49" i="9" s="1"/>
  <c r="D74" i="2"/>
  <c r="D40" i="1" s="1"/>
  <c r="D73" i="2"/>
  <c r="D46" i="9" s="1"/>
  <c r="E46" i="9" s="1"/>
  <c r="D71" i="2"/>
  <c r="D95" i="9" s="1"/>
  <c r="D70" i="2"/>
  <c r="D43" i="9" s="1"/>
  <c r="E43" i="9" s="1"/>
  <c r="F43" i="9" s="1"/>
  <c r="G43" i="9" s="1"/>
  <c r="H43" i="9" s="1"/>
  <c r="I43" i="9" s="1"/>
  <c r="J43" i="9" s="1"/>
  <c r="K43" i="9" s="1"/>
  <c r="L43" i="9" s="1"/>
  <c r="M43" i="9" s="1"/>
  <c r="N43" i="9" s="1"/>
  <c r="D69" i="2"/>
  <c r="D68" i="2"/>
  <c r="D45" i="9" s="1"/>
  <c r="D67" i="2"/>
  <c r="D44" i="9" s="1"/>
  <c r="E44" i="9" s="1"/>
  <c r="F44" i="9" s="1"/>
  <c r="G44" i="9" s="1"/>
  <c r="H44" i="9" s="1"/>
  <c r="I44" i="9" s="1"/>
  <c r="J44" i="9" s="1"/>
  <c r="K44" i="9" s="1"/>
  <c r="L44" i="9" s="1"/>
  <c r="M44" i="9" s="1"/>
  <c r="N44" i="9" s="1"/>
  <c r="D66" i="2"/>
  <c r="D65" i="2"/>
  <c r="D41" i="9" s="1"/>
  <c r="E162" i="9" s="1"/>
  <c r="D7" i="2"/>
  <c r="D51" i="2"/>
  <c r="D46" i="2"/>
  <c r="D45" i="2"/>
  <c r="D44" i="2"/>
  <c r="D19" i="5"/>
  <c r="D20" i="5"/>
  <c r="D18" i="5"/>
  <c r="D17" i="5"/>
  <c r="D16" i="5"/>
  <c r="D15" i="5"/>
  <c r="D9" i="5"/>
  <c r="D12" i="5"/>
  <c r="D11" i="5"/>
  <c r="D10" i="5"/>
  <c r="D6" i="5"/>
  <c r="C50" i="8" s="1"/>
  <c r="D5" i="5"/>
  <c r="D4" i="2" s="1"/>
  <c r="D4" i="5"/>
  <c r="C8" i="5"/>
  <c r="C14" i="5"/>
  <c r="C21" i="5"/>
  <c r="D25" i="2"/>
  <c r="F32" i="9" l="1"/>
  <c r="D40" i="9"/>
  <c r="D55" i="9"/>
  <c r="F49" i="9"/>
  <c r="F74" i="9"/>
  <c r="D54" i="1"/>
  <c r="E196" i="9"/>
  <c r="E197" i="9" s="1"/>
  <c r="D56" i="9"/>
  <c r="E56" i="9" s="1"/>
  <c r="D58" i="9"/>
  <c r="J74" i="9"/>
  <c r="N74" i="9"/>
  <c r="G34" i="9"/>
  <c r="H34" i="9" s="1"/>
  <c r="E36" i="9"/>
  <c r="E41" i="9" s="1"/>
  <c r="E121" i="9" s="1"/>
  <c r="E35" i="9"/>
  <c r="F35" i="9" s="1"/>
  <c r="G35" i="9" s="1"/>
  <c r="F36" i="9"/>
  <c r="E42" i="9"/>
  <c r="F46" i="9"/>
  <c r="G32" i="9"/>
  <c r="G49" i="9" s="1"/>
  <c r="F196" i="9"/>
  <c r="F33" i="9"/>
  <c r="G36" i="9"/>
  <c r="E37" i="9"/>
  <c r="E47" i="9" s="1"/>
  <c r="F38" i="9"/>
  <c r="E51" i="9"/>
  <c r="E52" i="9"/>
  <c r="F52" i="9" s="1"/>
  <c r="E59" i="9"/>
  <c r="E60" i="9"/>
  <c r="E54" i="9"/>
  <c r="F1" i="9"/>
  <c r="G1" i="9" s="1"/>
  <c r="H1" i="9" s="1"/>
  <c r="I1" i="9" s="1"/>
  <c r="F37" i="9"/>
  <c r="E50" i="9"/>
  <c r="F50" i="9" s="1"/>
  <c r="E57" i="9"/>
  <c r="F57" i="9" s="1"/>
  <c r="E58" i="9"/>
  <c r="F58" i="9" s="1"/>
  <c r="G58" i="9" s="1"/>
  <c r="E95" i="9"/>
  <c r="F95" i="9" s="1"/>
  <c r="E53" i="9"/>
  <c r="F23" i="9"/>
  <c r="E40" i="9"/>
  <c r="F40" i="9" s="1"/>
  <c r="G40" i="9" s="1"/>
  <c r="N45" i="9"/>
  <c r="E45" i="9"/>
  <c r="F45" i="9" s="1"/>
  <c r="G45" i="9" s="1"/>
  <c r="H45" i="9" s="1"/>
  <c r="I45" i="9" s="1"/>
  <c r="J45" i="9" s="1"/>
  <c r="K45" i="9" s="1"/>
  <c r="L45" i="9" s="1"/>
  <c r="M45" i="9" s="1"/>
  <c r="E55" i="9"/>
  <c r="D43" i="2"/>
  <c r="F14" i="6"/>
  <c r="E14" i="6"/>
  <c r="D14" i="6"/>
  <c r="D6" i="2"/>
  <c r="D8" i="2"/>
  <c r="D21" i="2"/>
  <c r="D20" i="2" s="1"/>
  <c r="D10" i="9" s="1"/>
  <c r="E10" i="9" s="1"/>
  <c r="E11" i="9" s="1"/>
  <c r="F11" i="9" s="1"/>
  <c r="G11" i="9" s="1"/>
  <c r="H11" i="9" s="1"/>
  <c r="I11" i="9" s="1"/>
  <c r="J11" i="9" s="1"/>
  <c r="K11" i="9" s="1"/>
  <c r="L11" i="9" s="1"/>
  <c r="M11" i="9" s="1"/>
  <c r="N11" i="9" s="1"/>
  <c r="D13" i="2"/>
  <c r="D16" i="2"/>
  <c r="D8" i="9" s="1"/>
  <c r="D15" i="2"/>
  <c r="D14" i="2"/>
  <c r="D77" i="9" s="1"/>
  <c r="E77" i="9" s="1"/>
  <c r="F56" i="9" l="1"/>
  <c r="D78" i="9"/>
  <c r="D85" i="9"/>
  <c r="H85" i="9" s="1"/>
  <c r="D84" i="9"/>
  <c r="H84" i="9" s="1"/>
  <c r="D80" i="9"/>
  <c r="D6" i="9"/>
  <c r="D85" i="1"/>
  <c r="E85" i="1" s="1"/>
  <c r="D81" i="9"/>
  <c r="E81" i="9" s="1"/>
  <c r="D86" i="9"/>
  <c r="H86" i="9" s="1"/>
  <c r="D73" i="9"/>
  <c r="D71" i="9"/>
  <c r="H71" i="9" s="1"/>
  <c r="D69" i="9"/>
  <c r="E69" i="9" s="1"/>
  <c r="D67" i="9"/>
  <c r="H67" i="9" s="1"/>
  <c r="H66" i="9" s="1"/>
  <c r="D72" i="9"/>
  <c r="E72" i="9" s="1"/>
  <c r="D70" i="9"/>
  <c r="H70" i="9" s="1"/>
  <c r="D68" i="9"/>
  <c r="E68" i="9" s="1"/>
  <c r="D4" i="9"/>
  <c r="D76" i="9"/>
  <c r="H76" i="9" s="1"/>
  <c r="H75" i="9" s="1"/>
  <c r="D82" i="9"/>
  <c r="E82" i="9" s="1"/>
  <c r="D84" i="1"/>
  <c r="E84" i="1" s="1"/>
  <c r="D83" i="9"/>
  <c r="E83" i="9" s="1"/>
  <c r="F41" i="9"/>
  <c r="G41" i="9" s="1"/>
  <c r="G57" i="9"/>
  <c r="G33" i="9"/>
  <c r="F54" i="9"/>
  <c r="G46" i="9"/>
  <c r="G38" i="9"/>
  <c r="G52" i="9" s="1"/>
  <c r="F168" i="9"/>
  <c r="E92" i="9"/>
  <c r="F42" i="9"/>
  <c r="F91" i="9" s="1"/>
  <c r="G37" i="9"/>
  <c r="H32" i="9"/>
  <c r="E198" i="9"/>
  <c r="E199" i="9"/>
  <c r="E118" i="9"/>
  <c r="E110" i="9"/>
  <c r="F55" i="9"/>
  <c r="G23" i="9"/>
  <c r="E111" i="9"/>
  <c r="F53" i="9"/>
  <c r="G18" i="9"/>
  <c r="E112" i="9"/>
  <c r="F51" i="9"/>
  <c r="H35" i="9"/>
  <c r="I34" i="9"/>
  <c r="G196" i="9"/>
  <c r="E66" i="9"/>
  <c r="E78" i="9"/>
  <c r="E75" i="9" s="1"/>
  <c r="J1" i="9"/>
  <c r="F60" i="9"/>
  <c r="F18" i="9"/>
  <c r="E113" i="9"/>
  <c r="F98" i="9"/>
  <c r="G95" i="9"/>
  <c r="F96" i="9"/>
  <c r="F97" i="9" s="1"/>
  <c r="F134" i="9" s="1"/>
  <c r="G54" i="9"/>
  <c r="E109" i="9"/>
  <c r="F59" i="9"/>
  <c r="F47" i="9"/>
  <c r="D80" i="1"/>
  <c r="D83" i="1"/>
  <c r="E83" i="1" s="1"/>
  <c r="D86" i="1"/>
  <c r="H86" i="1" s="1"/>
  <c r="D81" i="1"/>
  <c r="E81" i="1" s="1"/>
  <c r="D77" i="1"/>
  <c r="E77" i="1" s="1"/>
  <c r="D76" i="1"/>
  <c r="H76" i="1" s="1"/>
  <c r="D70" i="1"/>
  <c r="E70" i="1" s="1"/>
  <c r="D67" i="1"/>
  <c r="H67" i="1" s="1"/>
  <c r="D5" i="2"/>
  <c r="D66" i="9" l="1"/>
  <c r="D65" i="9" s="1"/>
  <c r="D75" i="9"/>
  <c r="D161" i="9"/>
  <c r="D160" i="9" s="1"/>
  <c r="H73" i="9"/>
  <c r="E73" i="9"/>
  <c r="E98" i="9" s="1"/>
  <c r="E79" i="9"/>
  <c r="E74" i="9" s="1"/>
  <c r="H80" i="9"/>
  <c r="H79" i="9" s="1"/>
  <c r="D79" i="9"/>
  <c r="G50" i="9"/>
  <c r="D74" i="9"/>
  <c r="G56" i="9"/>
  <c r="H74" i="9"/>
  <c r="H65" i="9"/>
  <c r="G42" i="9"/>
  <c r="G91" i="9" s="1"/>
  <c r="H38" i="9"/>
  <c r="H56" i="9" s="1"/>
  <c r="I32" i="9"/>
  <c r="H36" i="9"/>
  <c r="H37" i="9"/>
  <c r="H58" i="9"/>
  <c r="H46" i="9"/>
  <c r="H33" i="9"/>
  <c r="H40" i="9"/>
  <c r="H57" i="9"/>
  <c r="H49" i="9"/>
  <c r="G47" i="9"/>
  <c r="F92" i="9"/>
  <c r="F121" i="9"/>
  <c r="F113" i="9"/>
  <c r="F19" i="9"/>
  <c r="F106" i="9"/>
  <c r="G60" i="9"/>
  <c r="G168" i="9"/>
  <c r="H196" i="9"/>
  <c r="F112" i="9"/>
  <c r="G51" i="9"/>
  <c r="E168" i="9"/>
  <c r="E65" i="9"/>
  <c r="E96" i="9" s="1"/>
  <c r="J34" i="9"/>
  <c r="I35" i="9"/>
  <c r="F90" i="9"/>
  <c r="G53" i="9"/>
  <c r="F111" i="9"/>
  <c r="F110" i="9"/>
  <c r="F118" i="9"/>
  <c r="G55" i="9"/>
  <c r="F109" i="9"/>
  <c r="G59" i="9"/>
  <c r="G98" i="9"/>
  <c r="H95" i="9"/>
  <c r="G96" i="9"/>
  <c r="G97" i="9" s="1"/>
  <c r="G134" i="9" s="1"/>
  <c r="K1" i="9"/>
  <c r="E90" i="9"/>
  <c r="G121" i="9"/>
  <c r="G113" i="9"/>
  <c r="H23" i="9"/>
  <c r="E191" i="9"/>
  <c r="I79" i="1"/>
  <c r="H80" i="1"/>
  <c r="H79" i="1" s="1"/>
  <c r="D8" i="6"/>
  <c r="D8" i="10"/>
  <c r="D15" i="10"/>
  <c r="E15" i="10"/>
  <c r="E26" i="10" s="1"/>
  <c r="E27" i="10" s="1"/>
  <c r="F15" i="10"/>
  <c r="F26" i="10" s="1"/>
  <c r="F27" i="10" s="1"/>
  <c r="D16" i="10"/>
  <c r="E16" i="10"/>
  <c r="F16" i="10"/>
  <c r="D18" i="10"/>
  <c r="D32" i="10" s="1"/>
  <c r="E18" i="10"/>
  <c r="E32" i="10" s="1"/>
  <c r="F18" i="10"/>
  <c r="F7" i="10" s="1"/>
  <c r="E19" i="10"/>
  <c r="E33" i="10" s="1"/>
  <c r="D22" i="9" s="1"/>
  <c r="N22" i="9" s="1"/>
  <c r="F19" i="10"/>
  <c r="F33" i="10" s="1"/>
  <c r="H42" i="9" l="1"/>
  <c r="H91" i="9" s="1"/>
  <c r="H52" i="9"/>
  <c r="H54" i="9"/>
  <c r="F116" i="9"/>
  <c r="H50" i="9"/>
  <c r="I46" i="9"/>
  <c r="J32" i="9"/>
  <c r="I38" i="9"/>
  <c r="I37" i="9"/>
  <c r="I33" i="9"/>
  <c r="I36" i="9"/>
  <c r="I42" i="9" s="1"/>
  <c r="I91" i="9" s="1"/>
  <c r="I57" i="9"/>
  <c r="I58" i="9"/>
  <c r="G90" i="9"/>
  <c r="H41" i="9"/>
  <c r="H168" i="9" s="1"/>
  <c r="I49" i="9"/>
  <c r="I40" i="9"/>
  <c r="G109" i="9"/>
  <c r="H59" i="9"/>
  <c r="F162" i="9"/>
  <c r="F195" i="9"/>
  <c r="F197" i="9" s="1"/>
  <c r="G19" i="9"/>
  <c r="I95" i="9"/>
  <c r="H98" i="9"/>
  <c r="H96" i="9"/>
  <c r="H97" i="9" s="1"/>
  <c r="H134" i="9" s="1"/>
  <c r="I196" i="9"/>
  <c r="G92" i="9"/>
  <c r="G167" i="9" s="1"/>
  <c r="H47" i="9"/>
  <c r="K34" i="9"/>
  <c r="J35" i="9"/>
  <c r="G106" i="9"/>
  <c r="H60" i="9"/>
  <c r="E190" i="9"/>
  <c r="F191" i="9"/>
  <c r="E189" i="9"/>
  <c r="I23" i="9"/>
  <c r="L1" i="9"/>
  <c r="G110" i="9"/>
  <c r="G118" i="9"/>
  <c r="H55" i="9"/>
  <c r="G111" i="9"/>
  <c r="H53" i="9"/>
  <c r="G112" i="9"/>
  <c r="H51" i="9"/>
  <c r="D90" i="9"/>
  <c r="E97" i="9"/>
  <c r="I41" i="9"/>
  <c r="F167" i="9"/>
  <c r="D92" i="9"/>
  <c r="D15" i="6"/>
  <c r="D26" i="6" s="1"/>
  <c r="F32" i="10"/>
  <c r="E29" i="10"/>
  <c r="F29" i="10"/>
  <c r="F50" i="10" s="1"/>
  <c r="E99" i="1"/>
  <c r="E50" i="10" l="1"/>
  <c r="E51" i="10" s="1"/>
  <c r="E23" i="10" s="1"/>
  <c r="D20" i="9"/>
  <c r="J49" i="9"/>
  <c r="J57" i="9"/>
  <c r="G116" i="9"/>
  <c r="J46" i="9"/>
  <c r="I56" i="9"/>
  <c r="I54" i="9"/>
  <c r="J33" i="9"/>
  <c r="K32" i="9"/>
  <c r="J37" i="9"/>
  <c r="J38" i="9"/>
  <c r="J50" i="9" s="1"/>
  <c r="I50" i="9"/>
  <c r="J36" i="9"/>
  <c r="J42" i="9" s="1"/>
  <c r="J91" i="9" s="1"/>
  <c r="J40" i="9"/>
  <c r="J58" i="9"/>
  <c r="I52" i="9"/>
  <c r="I53" i="9"/>
  <c r="F198" i="9"/>
  <c r="F199" i="9"/>
  <c r="E134" i="9"/>
  <c r="I51" i="9"/>
  <c r="I55" i="9"/>
  <c r="K35" i="9"/>
  <c r="L34" i="9"/>
  <c r="J41" i="9"/>
  <c r="I168" i="9"/>
  <c r="H90" i="9"/>
  <c r="H106" i="9"/>
  <c r="I60" i="9"/>
  <c r="J196" i="9"/>
  <c r="G162" i="9"/>
  <c r="G195" i="9"/>
  <c r="G197" i="9" s="1"/>
  <c r="H92" i="9"/>
  <c r="H167" i="9" s="1"/>
  <c r="I47" i="9"/>
  <c r="I59" i="9"/>
  <c r="H109" i="9"/>
  <c r="M1" i="9"/>
  <c r="J23" i="9"/>
  <c r="G191" i="9"/>
  <c r="F190" i="9"/>
  <c r="F189" i="9"/>
  <c r="I98" i="9"/>
  <c r="J95" i="9"/>
  <c r="I96" i="9"/>
  <c r="D27" i="6"/>
  <c r="F28" i="10"/>
  <c r="E28" i="10"/>
  <c r="D18" i="9" s="1"/>
  <c r="H18" i="9" s="1"/>
  <c r="H118" i="9" s="1"/>
  <c r="E20" i="9" l="1"/>
  <c r="F20" i="9"/>
  <c r="F123" i="9" s="1"/>
  <c r="G20" i="9"/>
  <c r="G123" i="9" s="1"/>
  <c r="H19" i="9"/>
  <c r="H162" i="9" s="1"/>
  <c r="H110" i="9"/>
  <c r="K40" i="9"/>
  <c r="I90" i="9"/>
  <c r="K46" i="9"/>
  <c r="K58" i="9"/>
  <c r="K37" i="9"/>
  <c r="L32" i="9"/>
  <c r="L36" i="9" s="1"/>
  <c r="K38" i="9"/>
  <c r="K36" i="9"/>
  <c r="K42" i="9" s="1"/>
  <c r="K91" i="9" s="1"/>
  <c r="K33" i="9"/>
  <c r="K49" i="9"/>
  <c r="L49" i="9" s="1"/>
  <c r="J52" i="9"/>
  <c r="J56" i="9"/>
  <c r="J54" i="9"/>
  <c r="K57" i="9"/>
  <c r="L57" i="9" s="1"/>
  <c r="J98" i="9"/>
  <c r="K95" i="9"/>
  <c r="J96" i="9"/>
  <c r="J97" i="9" s="1"/>
  <c r="J134" i="9" s="1"/>
  <c r="J60" i="9"/>
  <c r="J168" i="9"/>
  <c r="L35" i="9"/>
  <c r="M34" i="9"/>
  <c r="K23" i="9"/>
  <c r="I109" i="9"/>
  <c r="J59" i="9"/>
  <c r="H121" i="9"/>
  <c r="F107" i="9"/>
  <c r="H113" i="9"/>
  <c r="H20" i="9"/>
  <c r="H116" i="9"/>
  <c r="J51" i="9"/>
  <c r="J53" i="9"/>
  <c r="G189" i="9"/>
  <c r="G190" i="9"/>
  <c r="N1" i="9"/>
  <c r="K50" i="9"/>
  <c r="H195" i="9"/>
  <c r="H197" i="9" s="1"/>
  <c r="J55" i="9"/>
  <c r="H112" i="9"/>
  <c r="H111" i="9"/>
  <c r="I97" i="9"/>
  <c r="I92" i="9"/>
  <c r="I167" i="9" s="1"/>
  <c r="J47" i="9"/>
  <c r="G199" i="9"/>
  <c r="G198" i="9"/>
  <c r="K196" i="9"/>
  <c r="E39" i="10"/>
  <c r="E49" i="10"/>
  <c r="F39" i="10"/>
  <c r="F49" i="10"/>
  <c r="F48" i="10" s="1"/>
  <c r="F30" i="10" s="1"/>
  <c r="F58" i="10" s="1"/>
  <c r="I18" i="9" l="1"/>
  <c r="I111" i="9" s="1"/>
  <c r="E48" i="10"/>
  <c r="E108" i="9"/>
  <c r="E123" i="9"/>
  <c r="E21" i="9"/>
  <c r="L58" i="9"/>
  <c r="K52" i="9"/>
  <c r="J90" i="9"/>
  <c r="K41" i="9"/>
  <c r="K168" i="9" s="1"/>
  <c r="K56" i="9"/>
  <c r="L42" i="9"/>
  <c r="L91" i="9" s="1"/>
  <c r="K54" i="9"/>
  <c r="L46" i="9"/>
  <c r="L38" i="9"/>
  <c r="L50" i="9" s="1"/>
  <c r="L33" i="9"/>
  <c r="L37" i="9"/>
  <c r="M32" i="9"/>
  <c r="M57" i="9" s="1"/>
  <c r="L40" i="9"/>
  <c r="L196" i="9"/>
  <c r="N34" i="9"/>
  <c r="M35" i="9"/>
  <c r="I121" i="9"/>
  <c r="I113" i="9"/>
  <c r="I20" i="9"/>
  <c r="I123" i="9" s="1"/>
  <c r="I116" i="9"/>
  <c r="I110" i="9"/>
  <c r="I19" i="9"/>
  <c r="K51" i="9"/>
  <c r="F108" i="9"/>
  <c r="J109" i="9"/>
  <c r="K59" i="9"/>
  <c r="L23" i="9"/>
  <c r="J106" i="9"/>
  <c r="K60" i="9"/>
  <c r="K98" i="9"/>
  <c r="L95" i="9"/>
  <c r="K96" i="9"/>
  <c r="I118" i="9"/>
  <c r="H199" i="9"/>
  <c r="H198" i="9"/>
  <c r="K53" i="9"/>
  <c r="I112" i="9"/>
  <c r="L41" i="9"/>
  <c r="K47" i="9"/>
  <c r="J92" i="9"/>
  <c r="J167" i="9" s="1"/>
  <c r="I134" i="9"/>
  <c r="H191" i="9"/>
  <c r="K55" i="9"/>
  <c r="H123" i="9"/>
  <c r="G107" i="9"/>
  <c r="F17" i="10"/>
  <c r="F40" i="10"/>
  <c r="F51" i="10"/>
  <c r="F45" i="10"/>
  <c r="F57" i="10"/>
  <c r="E17" i="10"/>
  <c r="E40" i="10"/>
  <c r="E36" i="10" s="1"/>
  <c r="E45" i="10"/>
  <c r="E57" i="10"/>
  <c r="D100" i="2"/>
  <c r="D99" i="2"/>
  <c r="D98" i="2"/>
  <c r="D97" i="2"/>
  <c r="D96" i="2"/>
  <c r="D95" i="2"/>
  <c r="D93" i="2"/>
  <c r="D92" i="2"/>
  <c r="D91" i="2"/>
  <c r="D95" i="1"/>
  <c r="D62" i="2"/>
  <c r="D58" i="2"/>
  <c r="D49" i="2"/>
  <c r="D48" i="2"/>
  <c r="D47" i="2"/>
  <c r="D41" i="2"/>
  <c r="D40" i="2"/>
  <c r="D39" i="2"/>
  <c r="D38" i="2"/>
  <c r="D37" i="2"/>
  <c r="D34" i="2"/>
  <c r="D33" i="2"/>
  <c r="D32" i="2"/>
  <c r="D31" i="2"/>
  <c r="D29" i="2"/>
  <c r="D27" i="2"/>
  <c r="D25" i="9" s="1"/>
  <c r="D23" i="2"/>
  <c r="D19" i="2"/>
  <c r="D18" i="2"/>
  <c r="D23" i="5"/>
  <c r="D89" i="9" s="1"/>
  <c r="E89" i="9" s="1"/>
  <c r="D22" i="5"/>
  <c r="D13" i="5"/>
  <c r="D88" i="1" l="1"/>
  <c r="E88" i="1" s="1"/>
  <c r="D88" i="9"/>
  <c r="D27" i="1"/>
  <c r="D27" i="9"/>
  <c r="E186" i="9"/>
  <c r="F186" i="9"/>
  <c r="E188" i="9"/>
  <c r="F188" i="9"/>
  <c r="G188" i="9"/>
  <c r="H188" i="9"/>
  <c r="I188" i="9"/>
  <c r="E164" i="9"/>
  <c r="F21" i="9"/>
  <c r="G186" i="9"/>
  <c r="E25" i="9"/>
  <c r="G25" i="9"/>
  <c r="F25" i="9"/>
  <c r="H25" i="9"/>
  <c r="E185" i="9"/>
  <c r="F185" i="9"/>
  <c r="K188" i="9"/>
  <c r="H186" i="9"/>
  <c r="I25" i="9"/>
  <c r="J188" i="9"/>
  <c r="D28" i="9"/>
  <c r="E30" i="10"/>
  <c r="E58" i="10" s="1"/>
  <c r="N35" i="9"/>
  <c r="L52" i="9"/>
  <c r="M49" i="9"/>
  <c r="L54" i="9"/>
  <c r="K90" i="9"/>
  <c r="J116" i="9"/>
  <c r="M40" i="9"/>
  <c r="L56" i="9"/>
  <c r="M36" i="9"/>
  <c r="M42" i="9" s="1"/>
  <c r="M33" i="9"/>
  <c r="N32" i="9"/>
  <c r="M38" i="9"/>
  <c r="M56" i="9" s="1"/>
  <c r="M37" i="9"/>
  <c r="M46" i="9"/>
  <c r="M58" i="9"/>
  <c r="N58" i="9" s="1"/>
  <c r="G108" i="9"/>
  <c r="L51" i="9"/>
  <c r="I195" i="9"/>
  <c r="I197" i="9" s="1"/>
  <c r="I162" i="9"/>
  <c r="J18" i="9"/>
  <c r="J19" i="9" s="1"/>
  <c r="M196" i="9"/>
  <c r="M91" i="9"/>
  <c r="L168" i="9"/>
  <c r="M23" i="9"/>
  <c r="H189" i="9"/>
  <c r="H190" i="9"/>
  <c r="I191" i="9"/>
  <c r="L53" i="9"/>
  <c r="K106" i="9"/>
  <c r="L60" i="9"/>
  <c r="K109" i="9"/>
  <c r="L59" i="9"/>
  <c r="M95" i="9"/>
  <c r="L98" i="9"/>
  <c r="L96" i="9"/>
  <c r="L97" i="9" s="1"/>
  <c r="L134" i="9" s="1"/>
  <c r="L55" i="9"/>
  <c r="K92" i="9"/>
  <c r="K167" i="9" s="1"/>
  <c r="L47" i="9"/>
  <c r="L188" i="9" s="1"/>
  <c r="K97" i="9"/>
  <c r="D12" i="2"/>
  <c r="D25" i="1"/>
  <c r="D26" i="2"/>
  <c r="D8" i="5"/>
  <c r="D17" i="2"/>
  <c r="D21" i="5"/>
  <c r="F37" i="10"/>
  <c r="F23" i="10"/>
  <c r="F12" i="10" s="1"/>
  <c r="F36" i="10"/>
  <c r="F22" i="10"/>
  <c r="F11" i="10" s="1"/>
  <c r="F6" i="10"/>
  <c r="E6" i="10"/>
  <c r="F35" i="10"/>
  <c r="F21" i="10"/>
  <c r="E34" i="10"/>
  <c r="E22" i="10"/>
  <c r="D14" i="5"/>
  <c r="D36" i="2"/>
  <c r="D42" i="2"/>
  <c r="G21" i="9" l="1"/>
  <c r="F164" i="9"/>
  <c r="E28" i="9"/>
  <c r="F28" i="9"/>
  <c r="F122" i="9" s="1"/>
  <c r="G28" i="9"/>
  <c r="G122" i="9" s="1"/>
  <c r="H28" i="9"/>
  <c r="H122" i="9" s="1"/>
  <c r="I28" i="9"/>
  <c r="I122" i="9" s="1"/>
  <c r="E193" i="9"/>
  <c r="F193" i="9"/>
  <c r="E27" i="9"/>
  <c r="F27" i="9"/>
  <c r="G27" i="9"/>
  <c r="H27" i="9"/>
  <c r="I27" i="9"/>
  <c r="E88" i="9"/>
  <c r="E87" i="9" s="1"/>
  <c r="E91" i="9" s="1"/>
  <c r="D87" i="9"/>
  <c r="L90" i="9"/>
  <c r="M41" i="9"/>
  <c r="M168" i="9" s="1"/>
  <c r="N49" i="9"/>
  <c r="N46" i="9"/>
  <c r="M52" i="9"/>
  <c r="M54" i="9"/>
  <c r="M50" i="9"/>
  <c r="N37" i="9"/>
  <c r="N36" i="9"/>
  <c r="N42" i="9" s="1"/>
  <c r="N91" i="9" s="1"/>
  <c r="N38" i="9"/>
  <c r="N56" i="9" s="1"/>
  <c r="N33" i="9"/>
  <c r="N40" i="9"/>
  <c r="N57" i="9"/>
  <c r="N23" i="9"/>
  <c r="M55" i="9"/>
  <c r="I190" i="9"/>
  <c r="I189" i="9"/>
  <c r="J121" i="9"/>
  <c r="J113" i="9"/>
  <c r="J25" i="9"/>
  <c r="J27" i="9"/>
  <c r="J20" i="9"/>
  <c r="J123" i="9" s="1"/>
  <c r="J28" i="9"/>
  <c r="J122" i="9" s="1"/>
  <c r="H107" i="9"/>
  <c r="J111" i="9"/>
  <c r="J112" i="9"/>
  <c r="J118" i="9"/>
  <c r="J110" i="9"/>
  <c r="I198" i="9"/>
  <c r="I199" i="9"/>
  <c r="I186" i="9" s="1"/>
  <c r="M98" i="9"/>
  <c r="N95" i="9"/>
  <c r="M96" i="9"/>
  <c r="M97" i="9" s="1"/>
  <c r="M134" i="9" s="1"/>
  <c r="M59" i="9"/>
  <c r="L109" i="9"/>
  <c r="M53" i="9"/>
  <c r="N196" i="9"/>
  <c r="J195" i="9"/>
  <c r="J197" i="9" s="1"/>
  <c r="J162" i="9"/>
  <c r="K18" i="9"/>
  <c r="K19" i="9" s="1"/>
  <c r="K134" i="9"/>
  <c r="M60" i="9"/>
  <c r="L106" i="9"/>
  <c r="M167" i="9"/>
  <c r="L92" i="9"/>
  <c r="L167" i="9" s="1"/>
  <c r="M47" i="9"/>
  <c r="N47" i="9" s="1"/>
  <c r="N92" i="9" s="1"/>
  <c r="M51" i="9"/>
  <c r="K116" i="9"/>
  <c r="D11" i="2"/>
  <c r="F34" i="10"/>
  <c r="F56" i="10" s="1"/>
  <c r="F10" i="10"/>
  <c r="F9" i="10" s="1"/>
  <c r="F13" i="10" s="1"/>
  <c r="F20" i="10"/>
  <c r="F24" i="10" s="1"/>
  <c r="E20" i="10"/>
  <c r="E24" i="10" s="1"/>
  <c r="E11" i="10"/>
  <c r="E9" i="10" s="1"/>
  <c r="E13" i="10" s="1"/>
  <c r="E56" i="10"/>
  <c r="E55" i="10"/>
  <c r="F55" i="10" l="1"/>
  <c r="I165" i="9"/>
  <c r="I139" i="9"/>
  <c r="I124" i="9"/>
  <c r="G124" i="9"/>
  <c r="G165" i="9"/>
  <c r="G139" i="9"/>
  <c r="E29" i="9"/>
  <c r="E122" i="9"/>
  <c r="G164" i="9"/>
  <c r="H21" i="9"/>
  <c r="G185" i="9"/>
  <c r="G193" i="9" s="1"/>
  <c r="E167" i="9"/>
  <c r="D91" i="9"/>
  <c r="E116" i="9"/>
  <c r="H124" i="9"/>
  <c r="H165" i="9"/>
  <c r="H139" i="9"/>
  <c r="F124" i="9"/>
  <c r="F165" i="9"/>
  <c r="F139" i="9"/>
  <c r="N54" i="9"/>
  <c r="J191" i="9"/>
  <c r="J189" i="9" s="1"/>
  <c r="N188" i="9"/>
  <c r="D21" i="8" s="1"/>
  <c r="N52" i="9"/>
  <c r="N41" i="9"/>
  <c r="N168" i="9" s="1"/>
  <c r="D168" i="9" s="1"/>
  <c r="N50" i="9"/>
  <c r="M90" i="9"/>
  <c r="M116" i="9" s="1"/>
  <c r="N53" i="9"/>
  <c r="H108" i="9"/>
  <c r="J124" i="9"/>
  <c r="M188" i="9"/>
  <c r="M106" i="9"/>
  <c r="N60" i="9"/>
  <c r="N106" i="9" s="1"/>
  <c r="K121" i="9"/>
  <c r="K113" i="9"/>
  <c r="K27" i="9"/>
  <c r="K25" i="9"/>
  <c r="K20" i="9"/>
  <c r="K123" i="9" s="1"/>
  <c r="K28" i="9"/>
  <c r="K122" i="9" s="1"/>
  <c r="K111" i="9"/>
  <c r="K110" i="9"/>
  <c r="K112" i="9"/>
  <c r="K118" i="9"/>
  <c r="J198" i="9"/>
  <c r="J199" i="9"/>
  <c r="J186" i="9" s="1"/>
  <c r="M109" i="9"/>
  <c r="N59" i="9"/>
  <c r="N109" i="9" s="1"/>
  <c r="J139" i="9"/>
  <c r="I107" i="9"/>
  <c r="L116" i="9"/>
  <c r="N98" i="9"/>
  <c r="D98" i="9" s="1"/>
  <c r="N96" i="9"/>
  <c r="N55" i="9"/>
  <c r="N51" i="9"/>
  <c r="K162" i="9"/>
  <c r="K195" i="9"/>
  <c r="K197" i="9" s="1"/>
  <c r="L18" i="9"/>
  <c r="J165" i="9"/>
  <c r="F99" i="1"/>
  <c r="G99" i="1" s="1"/>
  <c r="H99" i="1" s="1"/>
  <c r="I99" i="1" s="1"/>
  <c r="C55" i="8"/>
  <c r="E163" i="9" l="1"/>
  <c r="F29" i="9"/>
  <c r="H185" i="9"/>
  <c r="H193" i="9" s="1"/>
  <c r="I21" i="9"/>
  <c r="H164" i="9"/>
  <c r="E124" i="9"/>
  <c r="E139" i="9"/>
  <c r="E165" i="9"/>
  <c r="J190" i="9"/>
  <c r="N90" i="9"/>
  <c r="N116" i="9" s="1"/>
  <c r="D116" i="9" s="1"/>
  <c r="K191" i="9"/>
  <c r="K189" i="9" s="1"/>
  <c r="K139" i="9"/>
  <c r="N167" i="9"/>
  <c r="B174" i="9" s="1"/>
  <c r="D33" i="8" s="1"/>
  <c r="K199" i="9"/>
  <c r="K186" i="9" s="1"/>
  <c r="K198" i="9"/>
  <c r="K165" i="9"/>
  <c r="I108" i="9"/>
  <c r="D109" i="9"/>
  <c r="L113" i="9"/>
  <c r="L121" i="9"/>
  <c r="L20" i="9"/>
  <c r="L123" i="9" s="1"/>
  <c r="L25" i="9"/>
  <c r="L28" i="9"/>
  <c r="L122" i="9" s="1"/>
  <c r="L27" i="9"/>
  <c r="L112" i="9"/>
  <c r="L118" i="9"/>
  <c r="L111" i="9"/>
  <c r="L110" i="9"/>
  <c r="K124" i="9"/>
  <c r="N97" i="9"/>
  <c r="D96" i="9"/>
  <c r="J107" i="9"/>
  <c r="L19" i="9"/>
  <c r="J99" i="1"/>
  <c r="K99" i="1" s="1"/>
  <c r="L99" i="1" s="1"/>
  <c r="M99" i="1" s="1"/>
  <c r="N99" i="1" s="1"/>
  <c r="B32" i="11"/>
  <c r="B30" i="11"/>
  <c r="A63" i="11"/>
  <c r="A81" i="11"/>
  <c r="A80" i="11"/>
  <c r="A79" i="11"/>
  <c r="A122" i="11"/>
  <c r="A123" i="11"/>
  <c r="A125" i="11"/>
  <c r="A121" i="11"/>
  <c r="I185" i="9" l="1"/>
  <c r="I193" i="9" s="1"/>
  <c r="I164" i="9"/>
  <c r="J21" i="9"/>
  <c r="G29" i="9"/>
  <c r="F163" i="9"/>
  <c r="D167" i="9"/>
  <c r="L191" i="9"/>
  <c r="L189" i="9" s="1"/>
  <c r="L139" i="9"/>
  <c r="K190" i="9"/>
  <c r="L124" i="9"/>
  <c r="J108" i="9"/>
  <c r="L165" i="9"/>
  <c r="N134" i="9"/>
  <c r="D134" i="9" s="1"/>
  <c r="D6" i="8" s="1"/>
  <c r="D97" i="9"/>
  <c r="L162" i="9"/>
  <c r="L195" i="9"/>
  <c r="L197" i="9" s="1"/>
  <c r="M18" i="9"/>
  <c r="B179" i="9"/>
  <c r="A105" i="11"/>
  <c r="A104" i="11"/>
  <c r="A103" i="11"/>
  <c r="A65" i="11"/>
  <c r="G163" i="9" l="1"/>
  <c r="H29" i="9"/>
  <c r="J185" i="9"/>
  <c r="J193" i="9" s="1"/>
  <c r="J164" i="9"/>
  <c r="K21" i="9"/>
  <c r="L190" i="9"/>
  <c r="M121" i="9"/>
  <c r="M113" i="9"/>
  <c r="M107" i="9"/>
  <c r="M25" i="9"/>
  <c r="M20" i="9"/>
  <c r="M123" i="9" s="1"/>
  <c r="M28" i="9"/>
  <c r="M27" i="9"/>
  <c r="M111" i="9"/>
  <c r="K107" i="9"/>
  <c r="M118" i="9"/>
  <c r="M110" i="9"/>
  <c r="M112" i="9"/>
  <c r="L107" i="9"/>
  <c r="M19" i="9"/>
  <c r="D204" i="9"/>
  <c r="L199" i="9"/>
  <c r="L186" i="9" s="1"/>
  <c r="L198" i="9"/>
  <c r="F19" i="6"/>
  <c r="F33" i="6" s="1"/>
  <c r="E19" i="6"/>
  <c r="E33" i="6" s="1"/>
  <c r="F18" i="6"/>
  <c r="F32" i="6" s="1"/>
  <c r="E18" i="6"/>
  <c r="E32" i="6" s="1"/>
  <c r="F16" i="6"/>
  <c r="E16" i="6"/>
  <c r="D16" i="6"/>
  <c r="F15" i="6"/>
  <c r="F26" i="6" s="1"/>
  <c r="E15" i="6"/>
  <c r="E26" i="6" s="1"/>
  <c r="E27" i="6" s="1"/>
  <c r="E29" i="6" s="1"/>
  <c r="K185" i="9" l="1"/>
  <c r="K193" i="9" s="1"/>
  <c r="L21" i="9"/>
  <c r="K164" i="9"/>
  <c r="H163" i="9"/>
  <c r="I29" i="9"/>
  <c r="D205" i="9"/>
  <c r="D27" i="8"/>
  <c r="M195" i="9"/>
  <c r="M197" i="9" s="1"/>
  <c r="M162" i="9"/>
  <c r="N18" i="9"/>
  <c r="N19" i="9" s="1"/>
  <c r="M191" i="9"/>
  <c r="M122" i="9"/>
  <c r="M139" i="9" s="1"/>
  <c r="M108" i="9"/>
  <c r="L108" i="9"/>
  <c r="K108" i="9"/>
  <c r="D22" i="1"/>
  <c r="F7" i="6"/>
  <c r="F27" i="6"/>
  <c r="I163" i="9" l="1"/>
  <c r="J29" i="9"/>
  <c r="L164" i="9"/>
  <c r="L185" i="9"/>
  <c r="L193" i="9" s="1"/>
  <c r="M21" i="9"/>
  <c r="N22" i="1"/>
  <c r="M165" i="9"/>
  <c r="D206" i="9"/>
  <c r="D29" i="8" s="1"/>
  <c r="D28" i="8"/>
  <c r="N195" i="9"/>
  <c r="N197" i="9" s="1"/>
  <c r="N162" i="9"/>
  <c r="M190" i="9"/>
  <c r="M189" i="9"/>
  <c r="M124" i="9"/>
  <c r="N121" i="9"/>
  <c r="N113" i="9"/>
  <c r="D113" i="9" s="1"/>
  <c r="N107" i="9"/>
  <c r="N27" i="9"/>
  <c r="N28" i="9"/>
  <c r="N122" i="9" s="1"/>
  <c r="N20" i="9"/>
  <c r="N25" i="9"/>
  <c r="N110" i="9"/>
  <c r="N118" i="9"/>
  <c r="D118" i="9" s="1"/>
  <c r="N111" i="9"/>
  <c r="D111" i="9" s="1"/>
  <c r="N112" i="9"/>
  <c r="D112" i="9" s="1"/>
  <c r="M198" i="9"/>
  <c r="M199" i="9"/>
  <c r="M186" i="9" s="1"/>
  <c r="F29" i="6"/>
  <c r="F50" i="6" s="1"/>
  <c r="D58" i="8"/>
  <c r="A8" i="8"/>
  <c r="D26" i="10"/>
  <c r="C67" i="8"/>
  <c r="C61" i="8"/>
  <c r="C60" i="8"/>
  <c r="C37" i="8"/>
  <c r="B4" i="8"/>
  <c r="B3" i="8"/>
  <c r="M164" i="9" l="1"/>
  <c r="M185" i="9"/>
  <c r="M193" i="9" s="1"/>
  <c r="J163" i="9"/>
  <c r="K29" i="9"/>
  <c r="D201" i="9"/>
  <c r="D202" i="9" s="1"/>
  <c r="D203" i="9" s="1"/>
  <c r="D5" i="8"/>
  <c r="N123" i="9"/>
  <c r="N139" i="9" s="1"/>
  <c r="N21" i="9"/>
  <c r="N108" i="9"/>
  <c r="D108" i="9" s="1"/>
  <c r="D107" i="9"/>
  <c r="N191" i="9"/>
  <c r="D122" i="9"/>
  <c r="N198" i="9"/>
  <c r="N199" i="9"/>
  <c r="D110" i="9"/>
  <c r="D121" i="9"/>
  <c r="D27" i="10"/>
  <c r="F28" i="6"/>
  <c r="F39" i="6" s="1"/>
  <c r="D29" i="6"/>
  <c r="D50" i="6" s="1"/>
  <c r="C59" i="8"/>
  <c r="C63" i="8"/>
  <c r="C64" i="8"/>
  <c r="C65" i="8"/>
  <c r="C66" i="8"/>
  <c r="C56" i="8"/>
  <c r="C53" i="8"/>
  <c r="C54" i="8"/>
  <c r="C52" i="8"/>
  <c r="C49" i="8"/>
  <c r="E34" i="1"/>
  <c r="F34" i="1" s="1"/>
  <c r="G34" i="1" s="1"/>
  <c r="H34" i="1" s="1"/>
  <c r="I34" i="1" s="1"/>
  <c r="J34" i="1" s="1"/>
  <c r="K34" i="1" s="1"/>
  <c r="L34" i="1" s="1"/>
  <c r="M34" i="1" s="1"/>
  <c r="N34" i="1" s="1"/>
  <c r="C48" i="8"/>
  <c r="C47" i="8"/>
  <c r="D64" i="1"/>
  <c r="A41" i="8"/>
  <c r="A40" i="8"/>
  <c r="A39" i="8"/>
  <c r="A38" i="8"/>
  <c r="D196" i="1"/>
  <c r="A32" i="8"/>
  <c r="A33" i="8"/>
  <c r="A35" i="8"/>
  <c r="A25" i="8"/>
  <c r="A17" i="8"/>
  <c r="A18" i="8"/>
  <c r="A19" i="8"/>
  <c r="A20" i="8"/>
  <c r="A21" i="8"/>
  <c r="A24" i="8"/>
  <c r="A16" i="8"/>
  <c r="B27" i="8"/>
  <c r="B28" i="8"/>
  <c r="B29" i="8"/>
  <c r="A28" i="8"/>
  <c r="A29" i="8"/>
  <c r="A27" i="8"/>
  <c r="B10" i="8"/>
  <c r="B8" i="8"/>
  <c r="A13" i="8"/>
  <c r="A12" i="8"/>
  <c r="A11" i="8"/>
  <c r="A10" i="8"/>
  <c r="A9" i="8"/>
  <c r="K163" i="9" l="1"/>
  <c r="L29" i="9"/>
  <c r="E4" i="9"/>
  <c r="N186" i="9"/>
  <c r="D19" i="8" s="1"/>
  <c r="D25" i="8"/>
  <c r="N124" i="9"/>
  <c r="D124" i="9" s="1"/>
  <c r="D139" i="9"/>
  <c r="E114" i="9"/>
  <c r="F114" i="9"/>
  <c r="G114" i="9"/>
  <c r="H114" i="9"/>
  <c r="I114" i="9"/>
  <c r="J114" i="9"/>
  <c r="M114" i="9"/>
  <c r="L114" i="9"/>
  <c r="K114" i="9"/>
  <c r="N185" i="9"/>
  <c r="D18" i="8" s="1"/>
  <c r="N164" i="9"/>
  <c r="N165" i="9"/>
  <c r="D123" i="9"/>
  <c r="N190" i="9"/>
  <c r="D190" i="9" s="1"/>
  <c r="N189" i="9"/>
  <c r="N114" i="9"/>
  <c r="N166" i="9" s="1"/>
  <c r="C62" i="8"/>
  <c r="D82" i="1"/>
  <c r="D78" i="1"/>
  <c r="E50" i="6"/>
  <c r="E51" i="6" s="1"/>
  <c r="E23" i="6" s="1"/>
  <c r="D20" i="1"/>
  <c r="D28" i="6"/>
  <c r="D49" i="6" s="1"/>
  <c r="D29" i="10"/>
  <c r="D50" i="10" s="1"/>
  <c r="D51" i="10" s="1"/>
  <c r="D23" i="10" s="1"/>
  <c r="F49" i="6"/>
  <c r="F48" i="6" s="1"/>
  <c r="F30" i="6" s="1"/>
  <c r="F58" i="6" s="1"/>
  <c r="D51" i="6"/>
  <c r="D23" i="6" s="1"/>
  <c r="F45" i="6"/>
  <c r="F17" i="6"/>
  <c r="F57" i="6"/>
  <c r="F40" i="6"/>
  <c r="F51" i="6"/>
  <c r="E28" i="6"/>
  <c r="D18" i="1" s="1"/>
  <c r="E35" i="1"/>
  <c r="F35" i="1" s="1"/>
  <c r="G35" i="1" s="1"/>
  <c r="H35" i="1" s="1"/>
  <c r="I35" i="1" s="1"/>
  <c r="J35" i="1" s="1"/>
  <c r="K35" i="1" s="1"/>
  <c r="L35" i="1" s="1"/>
  <c r="M35" i="1" s="1"/>
  <c r="N35" i="1" s="1"/>
  <c r="L163" i="9" l="1"/>
  <c r="M29" i="9"/>
  <c r="E5" i="9"/>
  <c r="I4" i="9"/>
  <c r="C31" i="11"/>
  <c r="C30" i="11"/>
  <c r="D28" i="10"/>
  <c r="D39" i="10" s="1"/>
  <c r="N138" i="9"/>
  <c r="N140" i="9" s="1"/>
  <c r="N141" i="9" s="1"/>
  <c r="N142" i="9" s="1"/>
  <c r="J166" i="9"/>
  <c r="J138" i="9"/>
  <c r="J140" i="9" s="1"/>
  <c r="J141" i="9" s="1"/>
  <c r="J142" i="9" s="1"/>
  <c r="J117" i="9"/>
  <c r="J105" i="9" s="1"/>
  <c r="J129" i="9" s="1"/>
  <c r="F166" i="9"/>
  <c r="F138" i="9"/>
  <c r="F140" i="9" s="1"/>
  <c r="F117" i="9"/>
  <c r="F105" i="9" s="1"/>
  <c r="F129" i="9" s="1"/>
  <c r="K166" i="9"/>
  <c r="K138" i="9"/>
  <c r="K140" i="9" s="1"/>
  <c r="K141" i="9" s="1"/>
  <c r="K142" i="9" s="1"/>
  <c r="K117" i="9"/>
  <c r="K105" i="9" s="1"/>
  <c r="K129" i="9" s="1"/>
  <c r="I166" i="9"/>
  <c r="D114" i="9"/>
  <c r="E166" i="9"/>
  <c r="D165" i="9"/>
  <c r="B172" i="9" s="1"/>
  <c r="D31" i="8" s="1"/>
  <c r="L166" i="9"/>
  <c r="L138" i="9"/>
  <c r="L140" i="9" s="1"/>
  <c r="L141" i="9" s="1"/>
  <c r="L142" i="9" s="1"/>
  <c r="L117" i="9"/>
  <c r="L105" i="9" s="1"/>
  <c r="L129" i="9" s="1"/>
  <c r="H166" i="9"/>
  <c r="H117" i="9"/>
  <c r="H105" i="9" s="1"/>
  <c r="H129" i="9" s="1"/>
  <c r="H138" i="9"/>
  <c r="H140" i="9" s="1"/>
  <c r="N117" i="9"/>
  <c r="N105" i="9" s="1"/>
  <c r="N129" i="9" s="1"/>
  <c r="N193" i="9"/>
  <c r="D23" i="8" s="1"/>
  <c r="M117" i="9"/>
  <c r="M105" i="9" s="1"/>
  <c r="M129" i="9" s="1"/>
  <c r="M166" i="9"/>
  <c r="M138" i="9"/>
  <c r="M140" i="9" s="1"/>
  <c r="M141" i="9" s="1"/>
  <c r="M142" i="9" s="1"/>
  <c r="G166" i="9"/>
  <c r="G117" i="9"/>
  <c r="G105" i="9" s="1"/>
  <c r="G129" i="9" s="1"/>
  <c r="G138" i="9"/>
  <c r="G140" i="9" s="1"/>
  <c r="E78" i="1"/>
  <c r="D75" i="1"/>
  <c r="E82" i="1"/>
  <c r="E79" i="1" s="1"/>
  <c r="D79" i="1"/>
  <c r="D39" i="6"/>
  <c r="F6" i="6"/>
  <c r="F23" i="6"/>
  <c r="F12" i="6" s="1"/>
  <c r="F37" i="6"/>
  <c r="F36" i="6"/>
  <c r="F22" i="6"/>
  <c r="F11" i="6" s="1"/>
  <c r="E49" i="6"/>
  <c r="E48" i="6" s="1"/>
  <c r="E39" i="6"/>
  <c r="F21" i="6"/>
  <c r="F35" i="6"/>
  <c r="D49" i="10" l="1"/>
  <c r="D48" i="10" s="1"/>
  <c r="D30" i="10" s="1"/>
  <c r="D58" i="10" s="1"/>
  <c r="M163" i="9"/>
  <c r="N29" i="9"/>
  <c r="N163" i="9" s="1"/>
  <c r="F5" i="9"/>
  <c r="E30" i="6"/>
  <c r="E58" i="6" s="1"/>
  <c r="D28" i="1"/>
  <c r="J131" i="9"/>
  <c r="J130" i="9" s="1"/>
  <c r="B177" i="9"/>
  <c r="C179" i="9" s="1"/>
  <c r="C174" i="9"/>
  <c r="D39" i="8" s="1"/>
  <c r="F131" i="9"/>
  <c r="F130" i="9" s="1"/>
  <c r="F132" i="9" s="1"/>
  <c r="F133" i="9" s="1"/>
  <c r="F135" i="9" s="1"/>
  <c r="F144" i="9" s="1"/>
  <c r="B173" i="9"/>
  <c r="D32" i="8" s="1"/>
  <c r="D166" i="9"/>
  <c r="N131" i="9"/>
  <c r="N130" i="9" s="1"/>
  <c r="L131" i="9"/>
  <c r="L130" i="9" s="1"/>
  <c r="K131" i="9"/>
  <c r="K130" i="9" s="1"/>
  <c r="H131" i="9"/>
  <c r="H130" i="9" s="1"/>
  <c r="H132" i="9" s="1"/>
  <c r="H133" i="9" s="1"/>
  <c r="H135" i="9" s="1"/>
  <c r="H144" i="9" s="1"/>
  <c r="G131" i="9"/>
  <c r="G130" i="9" s="1"/>
  <c r="M131" i="9"/>
  <c r="M130" i="9" s="1"/>
  <c r="M132" i="9" s="1"/>
  <c r="M133" i="9" s="1"/>
  <c r="M135" i="9" s="1"/>
  <c r="M144" i="9" s="1"/>
  <c r="D17" i="6"/>
  <c r="D6" i="6" s="1"/>
  <c r="D45" i="6"/>
  <c r="D48" i="6"/>
  <c r="D30" i="6" s="1"/>
  <c r="D58" i="6" s="1"/>
  <c r="D17" i="10"/>
  <c r="D6" i="10" s="1"/>
  <c r="D57" i="10"/>
  <c r="D45" i="10"/>
  <c r="D40" i="10"/>
  <c r="E17" i="6"/>
  <c r="E45" i="6"/>
  <c r="E57" i="6"/>
  <c r="E40" i="6"/>
  <c r="F34" i="6"/>
  <c r="F10" i="6"/>
  <c r="F9" i="6" s="1"/>
  <c r="F13" i="6" s="1"/>
  <c r="F20" i="6"/>
  <c r="F24" i="6" s="1"/>
  <c r="D57" i="6"/>
  <c r="D40" i="6"/>
  <c r="D22" i="6" s="1"/>
  <c r="D11" i="6" s="1"/>
  <c r="D9" i="6" s="1"/>
  <c r="G5" i="9" l="1"/>
  <c r="H145" i="9"/>
  <c r="J132" i="9"/>
  <c r="J133" i="9" s="1"/>
  <c r="J135" i="9" s="1"/>
  <c r="J144" i="9" s="1"/>
  <c r="M145" i="9"/>
  <c r="M146" i="9" s="1"/>
  <c r="K132" i="9"/>
  <c r="K133" i="9" s="1"/>
  <c r="K135" i="9" s="1"/>
  <c r="K144" i="9" s="1"/>
  <c r="F145" i="9"/>
  <c r="G132" i="9"/>
  <c r="G133" i="9" s="1"/>
  <c r="G135" i="9" s="1"/>
  <c r="G144" i="9" s="1"/>
  <c r="N132" i="9"/>
  <c r="N133" i="9" s="1"/>
  <c r="N135" i="9" s="1"/>
  <c r="N144" i="9" s="1"/>
  <c r="L132" i="9"/>
  <c r="L133" i="9" s="1"/>
  <c r="L135" i="9" s="1"/>
  <c r="L144" i="9" s="1"/>
  <c r="F157" i="9"/>
  <c r="M157" i="9"/>
  <c r="H157" i="9"/>
  <c r="B178" i="9"/>
  <c r="C178" i="9" s="1"/>
  <c r="C173" i="9"/>
  <c r="D38" i="8" s="1"/>
  <c r="D22" i="10"/>
  <c r="D36" i="10"/>
  <c r="D34" i="10" s="1"/>
  <c r="E6" i="6"/>
  <c r="F55" i="6"/>
  <c r="F56" i="6"/>
  <c r="E36" i="6"/>
  <c r="D26" i="9" s="1"/>
  <c r="E22" i="6"/>
  <c r="D36" i="6"/>
  <c r="H5" i="9" l="1"/>
  <c r="D24" i="9"/>
  <c r="E26" i="9"/>
  <c r="E24" i="9" s="1"/>
  <c r="G26" i="9"/>
  <c r="G24" i="9" s="1"/>
  <c r="F26" i="9"/>
  <c r="F24" i="9" s="1"/>
  <c r="H26" i="9"/>
  <c r="H24" i="9" s="1"/>
  <c r="I26" i="9"/>
  <c r="I24" i="9" s="1"/>
  <c r="J26" i="9"/>
  <c r="J24" i="9" s="1"/>
  <c r="K26" i="9"/>
  <c r="K24" i="9" s="1"/>
  <c r="L26" i="9"/>
  <c r="L24" i="9" s="1"/>
  <c r="M26" i="9"/>
  <c r="M24" i="9" s="1"/>
  <c r="N26" i="9"/>
  <c r="N24" i="9" s="1"/>
  <c r="L157" i="9"/>
  <c r="G157" i="9"/>
  <c r="N145" i="9"/>
  <c r="N146" i="9" s="1"/>
  <c r="J145" i="9"/>
  <c r="J146" i="9" s="1"/>
  <c r="M147" i="9"/>
  <c r="M169" i="9" s="1"/>
  <c r="M170" i="9" s="1"/>
  <c r="L145" i="9"/>
  <c r="L146" i="9" s="1"/>
  <c r="K145" i="9"/>
  <c r="K146" i="9" s="1"/>
  <c r="G145" i="9"/>
  <c r="N157" i="9"/>
  <c r="K157" i="9"/>
  <c r="J157" i="9"/>
  <c r="E34" i="6"/>
  <c r="E56" i="6" s="1"/>
  <c r="D26" i="1"/>
  <c r="D34" i="6"/>
  <c r="D56" i="10"/>
  <c r="D55" i="10"/>
  <c r="D20" i="10"/>
  <c r="D24" i="10" s="1"/>
  <c r="D11" i="10"/>
  <c r="D9" i="10" s="1"/>
  <c r="D13" i="10" s="1"/>
  <c r="E20" i="6"/>
  <c r="E24" i="6" s="1"/>
  <c r="E11" i="6"/>
  <c r="E9" i="6" s="1"/>
  <c r="E13" i="6" s="1"/>
  <c r="D20" i="6"/>
  <c r="D18" i="6" s="1"/>
  <c r="I5" i="9" l="1"/>
  <c r="M148" i="9"/>
  <c r="M149" i="9" s="1"/>
  <c r="N147" i="9"/>
  <c r="N169" i="9" s="1"/>
  <c r="N170" i="9" s="1"/>
  <c r="E55" i="6"/>
  <c r="D7" i="6"/>
  <c r="D13" i="6" s="1"/>
  <c r="D32" i="6"/>
  <c r="D56" i="6" s="1"/>
  <c r="D24" i="6"/>
  <c r="J5" i="9" l="1"/>
  <c r="D55" i="6"/>
  <c r="N148" i="9"/>
  <c r="N149" i="9" s="1"/>
  <c r="K5" i="9" l="1"/>
  <c r="L5" i="9" l="1"/>
  <c r="D45" i="1"/>
  <c r="N45" i="1" s="1"/>
  <c r="M5" i="9" l="1"/>
  <c r="E45" i="1"/>
  <c r="F45" i="1" s="1"/>
  <c r="G45" i="1" s="1"/>
  <c r="H45" i="1" s="1"/>
  <c r="I45" i="1" s="1"/>
  <c r="J45" i="1" s="1"/>
  <c r="K45" i="1" s="1"/>
  <c r="L45" i="1" s="1"/>
  <c r="M45" i="1" s="1"/>
  <c r="C134" i="1"/>
  <c r="D115" i="1"/>
  <c r="D57" i="1"/>
  <c r="D42" i="1"/>
  <c r="D68" i="1"/>
  <c r="E68" i="1" s="1"/>
  <c r="N5" i="9" l="1"/>
  <c r="D44" i="1"/>
  <c r="E44" i="1" s="1"/>
  <c r="F44" i="1" s="1"/>
  <c r="D89" i="1"/>
  <c r="E89" i="1" s="1"/>
  <c r="G75" i="1"/>
  <c r="G74" i="1" s="1"/>
  <c r="H75" i="1"/>
  <c r="J75" i="1"/>
  <c r="J74" i="1" s="1"/>
  <c r="K75" i="1"/>
  <c r="K74" i="1" s="1"/>
  <c r="L75" i="1"/>
  <c r="L74" i="1" s="1"/>
  <c r="M75" i="1"/>
  <c r="M74" i="1" s="1"/>
  <c r="N75" i="1"/>
  <c r="N74" i="1" s="1"/>
  <c r="D73" i="1"/>
  <c r="E73" i="1" s="1"/>
  <c r="D72" i="1"/>
  <c r="E72" i="1" s="1"/>
  <c r="D71" i="1"/>
  <c r="E71" i="1" s="1"/>
  <c r="G66" i="1"/>
  <c r="H66" i="1"/>
  <c r="J66" i="1"/>
  <c r="K66" i="1"/>
  <c r="L66" i="1"/>
  <c r="M66" i="1"/>
  <c r="N66" i="1"/>
  <c r="D69" i="1"/>
  <c r="E69" i="1" s="1"/>
  <c r="E66" i="1" s="1"/>
  <c r="E65" i="1" l="1"/>
  <c r="D74" i="1"/>
  <c r="G44" i="1"/>
  <c r="J65" i="1"/>
  <c r="H65" i="1"/>
  <c r="L65" i="1"/>
  <c r="G65" i="1"/>
  <c r="N65" i="1"/>
  <c r="M65" i="1"/>
  <c r="K65" i="1"/>
  <c r="H44" i="1"/>
  <c r="D43" i="1"/>
  <c r="E43" i="1" s="1"/>
  <c r="F43" i="1" s="1"/>
  <c r="G43" i="1" s="1"/>
  <c r="H43" i="1" s="1"/>
  <c r="I43" i="1" s="1"/>
  <c r="J43" i="1" s="1"/>
  <c r="K43" i="1" s="1"/>
  <c r="L43" i="1" s="1"/>
  <c r="M43" i="1" s="1"/>
  <c r="N43" i="1" s="1"/>
  <c r="D66" i="1"/>
  <c r="D65" i="1" s="1"/>
  <c r="D87" i="1"/>
  <c r="I75" i="1"/>
  <c r="H74" i="1" l="1"/>
  <c r="I74" i="1"/>
  <c r="I44" i="1"/>
  <c r="F87" i="1"/>
  <c r="E87" i="1"/>
  <c r="F75" i="1"/>
  <c r="F74" i="1" s="1"/>
  <c r="F66" i="1"/>
  <c r="E23" i="1"/>
  <c r="F23" i="1" l="1"/>
  <c r="F65" i="1"/>
  <c r="I65" i="1"/>
  <c r="J44" i="1"/>
  <c r="E75" i="1"/>
  <c r="G23" i="1" l="1"/>
  <c r="E74" i="1"/>
  <c r="K44" i="1"/>
  <c r="D12" i="1"/>
  <c r="D6" i="1"/>
  <c r="E6" i="9" s="1"/>
  <c r="D8" i="1"/>
  <c r="D4" i="1"/>
  <c r="E32" i="1"/>
  <c r="E95" i="1" s="1"/>
  <c r="B15" i="11" l="1"/>
  <c r="E7" i="9"/>
  <c r="I6" i="9"/>
  <c r="I106" i="9" s="1"/>
  <c r="E106" i="9"/>
  <c r="H23" i="1"/>
  <c r="D161" i="1"/>
  <c r="D160" i="1" s="1"/>
  <c r="E98" i="1"/>
  <c r="E96" i="1"/>
  <c r="E9" i="1"/>
  <c r="E40" i="1"/>
  <c r="E58" i="1"/>
  <c r="E6" i="1"/>
  <c r="I6" i="1" s="1"/>
  <c r="E4" i="1"/>
  <c r="L44" i="1"/>
  <c r="E196" i="1"/>
  <c r="E197" i="1" s="1"/>
  <c r="E36" i="1"/>
  <c r="E37" i="1"/>
  <c r="E38" i="1"/>
  <c r="F32" i="1"/>
  <c r="F95" i="1" s="1"/>
  <c r="D106" i="9" l="1"/>
  <c r="E117" i="9"/>
  <c r="E105" i="9" s="1"/>
  <c r="E138" i="9"/>
  <c r="I138" i="9"/>
  <c r="I140" i="9" s="1"/>
  <c r="I117" i="9"/>
  <c r="I105" i="9" s="1"/>
  <c r="I129" i="9" s="1"/>
  <c r="F7" i="9"/>
  <c r="E161" i="9"/>
  <c r="E160" i="9" s="1"/>
  <c r="E5" i="1"/>
  <c r="F5" i="1" s="1"/>
  <c r="C15" i="11"/>
  <c r="I23" i="1"/>
  <c r="F98" i="1"/>
  <c r="F96" i="1"/>
  <c r="F97" i="1" s="1"/>
  <c r="F134" i="1" s="1"/>
  <c r="E97" i="1"/>
  <c r="F40" i="1"/>
  <c r="E54" i="1"/>
  <c r="E56" i="1"/>
  <c r="I4" i="1"/>
  <c r="G15" i="11" s="1"/>
  <c r="E7" i="1"/>
  <c r="E161" i="1" s="1"/>
  <c r="M44" i="1"/>
  <c r="E13" i="1"/>
  <c r="F196" i="1"/>
  <c r="F36" i="1"/>
  <c r="A151" i="11"/>
  <c r="E55" i="1"/>
  <c r="F38" i="1"/>
  <c r="F37" i="1"/>
  <c r="G32" i="1"/>
  <c r="D60" i="1"/>
  <c r="E60" i="1" s="1"/>
  <c r="E57" i="1"/>
  <c r="D52" i="1"/>
  <c r="E52" i="1" s="1"/>
  <c r="D53" i="1"/>
  <c r="E53" i="1" s="1"/>
  <c r="D51" i="1"/>
  <c r="D50" i="1"/>
  <c r="D49" i="1"/>
  <c r="E49" i="1" s="1"/>
  <c r="F49" i="1" s="1"/>
  <c r="D47" i="1"/>
  <c r="E47" i="1" s="1"/>
  <c r="E188" i="1" s="1"/>
  <c r="D46" i="1"/>
  <c r="D41" i="1"/>
  <c r="E1" i="1"/>
  <c r="C58" i="8"/>
  <c r="E129" i="9" l="1"/>
  <c r="D105" i="9"/>
  <c r="G7" i="9"/>
  <c r="F161" i="9"/>
  <c r="F160" i="9" s="1"/>
  <c r="D138" i="9"/>
  <c r="E140" i="9"/>
  <c r="I131" i="9"/>
  <c r="I130" i="9" s="1"/>
  <c r="I132" i="9" s="1"/>
  <c r="I133" i="9" s="1"/>
  <c r="I135" i="9" s="1"/>
  <c r="D117" i="9"/>
  <c r="J23" i="1"/>
  <c r="G40" i="1"/>
  <c r="E134" i="1"/>
  <c r="G95" i="1"/>
  <c r="E41" i="1"/>
  <c r="E162" i="1"/>
  <c r="F56" i="1"/>
  <c r="E18" i="1"/>
  <c r="N44" i="1"/>
  <c r="B31" i="11"/>
  <c r="G196" i="1"/>
  <c r="G36" i="1"/>
  <c r="E51" i="1"/>
  <c r="F58" i="1"/>
  <c r="F54" i="1"/>
  <c r="F57" i="1"/>
  <c r="F53" i="1"/>
  <c r="G49" i="1"/>
  <c r="F55" i="1"/>
  <c r="F60" i="1"/>
  <c r="F52" i="1"/>
  <c r="F47" i="1"/>
  <c r="E50" i="1"/>
  <c r="E90" i="1" s="1"/>
  <c r="E46" i="1"/>
  <c r="F46" i="1" s="1"/>
  <c r="G46" i="1" s="1"/>
  <c r="G38" i="1"/>
  <c r="G37" i="1"/>
  <c r="F1" i="1"/>
  <c r="F18" i="1" s="1"/>
  <c r="D10" i="1"/>
  <c r="H32" i="1"/>
  <c r="E110" i="1" l="1"/>
  <c r="B51" i="11" s="1"/>
  <c r="E121" i="1"/>
  <c r="E112" i="1"/>
  <c r="B53" i="11" s="1"/>
  <c r="I144" i="9"/>
  <c r="I145" i="9"/>
  <c r="I157" i="9"/>
  <c r="E141" i="9"/>
  <c r="D140" i="9"/>
  <c r="E187" i="1"/>
  <c r="E187" i="9"/>
  <c r="H7" i="9"/>
  <c r="G161" i="9"/>
  <c r="G160" i="9" s="1"/>
  <c r="D129" i="9"/>
  <c r="E131" i="9"/>
  <c r="D131" i="9" s="1"/>
  <c r="F20" i="1"/>
  <c r="F92" i="1"/>
  <c r="F188" i="1"/>
  <c r="K23" i="1"/>
  <c r="H40" i="1"/>
  <c r="F41" i="1"/>
  <c r="F187" i="9" s="1"/>
  <c r="H95" i="1"/>
  <c r="G96" i="1"/>
  <c r="G98" i="1"/>
  <c r="E118" i="1"/>
  <c r="G57" i="1"/>
  <c r="H57" i="1" s="1"/>
  <c r="E111" i="1"/>
  <c r="B52" i="11" s="1"/>
  <c r="F110" i="1"/>
  <c r="C51" i="11" s="1"/>
  <c r="F111" i="1"/>
  <c r="C52" i="11" s="1"/>
  <c r="E28" i="1"/>
  <c r="E122" i="1" s="1"/>
  <c r="E113" i="1"/>
  <c r="B54" i="11" s="1"/>
  <c r="G58" i="1"/>
  <c r="H58" i="1" s="1"/>
  <c r="F113" i="1"/>
  <c r="C54" i="11" s="1"/>
  <c r="G56" i="1"/>
  <c r="F19" i="1"/>
  <c r="F28" i="1"/>
  <c r="E10" i="1"/>
  <c r="E11" i="1" s="1"/>
  <c r="E26" i="1"/>
  <c r="E27" i="1"/>
  <c r="E25" i="1"/>
  <c r="G1" i="1"/>
  <c r="G18" i="1" s="1"/>
  <c r="F9" i="1"/>
  <c r="F7" i="1"/>
  <c r="F13" i="1"/>
  <c r="F51" i="1"/>
  <c r="F118" i="1" s="1"/>
  <c r="B36" i="11"/>
  <c r="B35" i="11"/>
  <c r="B34" i="11"/>
  <c r="H196" i="1"/>
  <c r="H36" i="1"/>
  <c r="G60" i="1"/>
  <c r="G55" i="1"/>
  <c r="F50" i="1"/>
  <c r="F90" i="1" s="1"/>
  <c r="G47" i="1"/>
  <c r="G52" i="1"/>
  <c r="G53" i="1"/>
  <c r="G54" i="1"/>
  <c r="H49" i="1"/>
  <c r="H38" i="1"/>
  <c r="H37" i="1"/>
  <c r="H46" i="1"/>
  <c r="I32" i="1"/>
  <c r="F121" i="1" l="1"/>
  <c r="E184" i="9"/>
  <c r="E192" i="9"/>
  <c r="F192" i="9"/>
  <c r="F184" i="9"/>
  <c r="E130" i="9"/>
  <c r="I7" i="9"/>
  <c r="H161" i="9"/>
  <c r="H160" i="9" s="1"/>
  <c r="F137" i="9"/>
  <c r="E142" i="9"/>
  <c r="F195" i="1"/>
  <c r="D14" i="11"/>
  <c r="E29" i="1"/>
  <c r="E163" i="1" s="1"/>
  <c r="I40" i="1"/>
  <c r="F187" i="1"/>
  <c r="L23" i="1"/>
  <c r="G92" i="1"/>
  <c r="G188" i="1"/>
  <c r="G111" i="1"/>
  <c r="D52" i="11" s="1"/>
  <c r="E191" i="1"/>
  <c r="E189" i="1" s="1"/>
  <c r="E192" i="1" s="1"/>
  <c r="B168" i="11" s="1"/>
  <c r="G97" i="1"/>
  <c r="I95" i="1"/>
  <c r="H98" i="1"/>
  <c r="H96" i="1"/>
  <c r="H97" i="1" s="1"/>
  <c r="H134" i="1" s="1"/>
  <c r="G110" i="1"/>
  <c r="D51" i="11" s="1"/>
  <c r="G51" i="1"/>
  <c r="G112" i="1" s="1"/>
  <c r="D53" i="11" s="1"/>
  <c r="F112" i="1"/>
  <c r="C53" i="11" s="1"/>
  <c r="E92" i="1"/>
  <c r="E106" i="1"/>
  <c r="B47" i="11" s="1"/>
  <c r="G113" i="1"/>
  <c r="D54" i="11" s="1"/>
  <c r="H56" i="1"/>
  <c r="G19" i="1"/>
  <c r="G28" i="1"/>
  <c r="E24" i="1"/>
  <c r="F11" i="1"/>
  <c r="H1" i="1"/>
  <c r="G7" i="1"/>
  <c r="G13" i="1"/>
  <c r="G9" i="1"/>
  <c r="B104" i="11"/>
  <c r="I196" i="1"/>
  <c r="I36" i="1"/>
  <c r="G41" i="1"/>
  <c r="G187" i="9" s="1"/>
  <c r="H60" i="1"/>
  <c r="H55" i="1"/>
  <c r="G50" i="1"/>
  <c r="G90" i="1" s="1"/>
  <c r="H47" i="1"/>
  <c r="H52" i="1"/>
  <c r="H53" i="1"/>
  <c r="H54" i="1"/>
  <c r="I49" i="1"/>
  <c r="I37" i="1"/>
  <c r="I38" i="1"/>
  <c r="I58" i="1"/>
  <c r="I46" i="1"/>
  <c r="I57" i="1"/>
  <c r="J32" i="1"/>
  <c r="G121" i="1" l="1"/>
  <c r="G192" i="9"/>
  <c r="G184" i="9"/>
  <c r="F141" i="9"/>
  <c r="J7" i="9"/>
  <c r="I161" i="9"/>
  <c r="I160" i="9" s="1"/>
  <c r="D130" i="9"/>
  <c r="E132" i="9"/>
  <c r="G195" i="1"/>
  <c r="E14" i="11"/>
  <c r="H51" i="1"/>
  <c r="I51" i="1" s="1"/>
  <c r="J40" i="1"/>
  <c r="F191" i="1"/>
  <c r="F189" i="1" s="1"/>
  <c r="F192" i="1" s="1"/>
  <c r="C168" i="11" s="1"/>
  <c r="H92" i="1"/>
  <c r="H188" i="1"/>
  <c r="M23" i="1"/>
  <c r="G187" i="1"/>
  <c r="G134" i="1"/>
  <c r="J95" i="1"/>
  <c r="I98" i="1"/>
  <c r="I96" i="1"/>
  <c r="G118" i="1"/>
  <c r="H18" i="1"/>
  <c r="I56" i="1"/>
  <c r="G11" i="1"/>
  <c r="G5" i="1"/>
  <c r="F161" i="1"/>
  <c r="I1" i="1"/>
  <c r="H7" i="1"/>
  <c r="H13" i="1"/>
  <c r="H9" i="1"/>
  <c r="J196" i="1"/>
  <c r="J36" i="1"/>
  <c r="H41" i="1"/>
  <c r="H187" i="9" s="1"/>
  <c r="I60" i="1"/>
  <c r="I47" i="1"/>
  <c r="H50" i="1"/>
  <c r="I55" i="1"/>
  <c r="F106" i="1"/>
  <c r="C47" i="11" s="1"/>
  <c r="I54" i="1"/>
  <c r="I53" i="1"/>
  <c r="I52" i="1"/>
  <c r="J49" i="1"/>
  <c r="J37" i="1"/>
  <c r="J38" i="1"/>
  <c r="J57" i="1"/>
  <c r="J46" i="1"/>
  <c r="J58" i="1"/>
  <c r="K32" i="1"/>
  <c r="H90" i="1" l="1"/>
  <c r="H121" i="1"/>
  <c r="F142" i="9"/>
  <c r="G137" i="9"/>
  <c r="D132" i="9"/>
  <c r="D7" i="8" s="1"/>
  <c r="E133" i="9"/>
  <c r="K7" i="9"/>
  <c r="J161" i="9"/>
  <c r="J160" i="9" s="1"/>
  <c r="H184" i="9"/>
  <c r="H192" i="9"/>
  <c r="K40" i="1"/>
  <c r="G191" i="1"/>
  <c r="G189" i="1" s="1"/>
  <c r="G192" i="1" s="1"/>
  <c r="D168" i="11" s="1"/>
  <c r="N23" i="1"/>
  <c r="I92" i="1"/>
  <c r="I188" i="1"/>
  <c r="I97" i="1"/>
  <c r="H118" i="1"/>
  <c r="F107" i="1"/>
  <c r="K95" i="1"/>
  <c r="J96" i="1"/>
  <c r="J97" i="1" s="1"/>
  <c r="J134" i="1" s="1"/>
  <c r="J98" i="1"/>
  <c r="H112" i="1"/>
  <c r="E53" i="11" s="1"/>
  <c r="H28" i="1"/>
  <c r="H113" i="1"/>
  <c r="E54" i="11" s="1"/>
  <c r="H110" i="1"/>
  <c r="E51" i="11" s="1"/>
  <c r="H111" i="1"/>
  <c r="E52" i="11" s="1"/>
  <c r="J56" i="1"/>
  <c r="H11" i="1"/>
  <c r="I11" i="1" s="1"/>
  <c r="F27" i="1"/>
  <c r="F25" i="1"/>
  <c r="F26" i="1"/>
  <c r="H5" i="1"/>
  <c r="G161" i="1"/>
  <c r="J1" i="1"/>
  <c r="I7" i="1"/>
  <c r="I9" i="1"/>
  <c r="G20" i="1"/>
  <c r="I41" i="1"/>
  <c r="I187" i="9" s="1"/>
  <c r="K196" i="1"/>
  <c r="K36" i="1"/>
  <c r="J60" i="1"/>
  <c r="J47" i="1"/>
  <c r="J54" i="1"/>
  <c r="I50" i="1"/>
  <c r="I90" i="1" s="1"/>
  <c r="J55" i="1"/>
  <c r="J52" i="1"/>
  <c r="G106" i="1"/>
  <c r="D47" i="11" s="1"/>
  <c r="J53" i="1"/>
  <c r="J51" i="1"/>
  <c r="K49" i="1"/>
  <c r="K37" i="1"/>
  <c r="K38" i="1"/>
  <c r="K58" i="1"/>
  <c r="K46" i="1"/>
  <c r="K57" i="1"/>
  <c r="L32" i="1"/>
  <c r="L40" i="1" l="1"/>
  <c r="L7" i="9"/>
  <c r="K161" i="9"/>
  <c r="K160" i="9" s="1"/>
  <c r="G141" i="9"/>
  <c r="I192" i="9"/>
  <c r="I184" i="9"/>
  <c r="D133" i="9"/>
  <c r="D4" i="8" s="1"/>
  <c r="E135" i="9"/>
  <c r="E157" i="9"/>
  <c r="F146" i="9"/>
  <c r="F108" i="1"/>
  <c r="C49" i="11" s="1"/>
  <c r="C48" i="11"/>
  <c r="J92" i="1"/>
  <c r="J188" i="1"/>
  <c r="H191" i="1"/>
  <c r="H189" i="1" s="1"/>
  <c r="L95" i="1"/>
  <c r="K96" i="1"/>
  <c r="K98" i="1"/>
  <c r="I134" i="1"/>
  <c r="G123" i="1"/>
  <c r="K56" i="1"/>
  <c r="F24" i="1"/>
  <c r="G25" i="1"/>
  <c r="G27" i="1"/>
  <c r="G26" i="1"/>
  <c r="I5" i="1"/>
  <c r="J5" i="1" s="1"/>
  <c r="K1" i="1"/>
  <c r="J7" i="1"/>
  <c r="J11" i="1"/>
  <c r="I13" i="1"/>
  <c r="F29" i="1"/>
  <c r="F122" i="1"/>
  <c r="C104" i="11" s="1"/>
  <c r="J41" i="1"/>
  <c r="J187" i="9" s="1"/>
  <c r="H161" i="1"/>
  <c r="L196" i="1"/>
  <c r="L36" i="1"/>
  <c r="K60" i="1"/>
  <c r="K47" i="1"/>
  <c r="J50" i="1"/>
  <c r="J90" i="1" s="1"/>
  <c r="K55" i="1"/>
  <c r="K53" i="1"/>
  <c r="K52" i="1"/>
  <c r="H106" i="1"/>
  <c r="E47" i="11" s="1"/>
  <c r="K54" i="1"/>
  <c r="K51" i="1"/>
  <c r="L49" i="1"/>
  <c r="L38" i="1"/>
  <c r="L37" i="1"/>
  <c r="L46" i="1"/>
  <c r="L57" i="1"/>
  <c r="L58" i="1"/>
  <c r="M32" i="1"/>
  <c r="M40" i="1" s="1"/>
  <c r="J192" i="9" l="1"/>
  <c r="J184" i="9"/>
  <c r="E144" i="9"/>
  <c r="D144" i="9" s="1"/>
  <c r="D9" i="8" s="1"/>
  <c r="D135" i="9"/>
  <c r="D3" i="8" s="1"/>
  <c r="E145" i="9"/>
  <c r="H137" i="9"/>
  <c r="G142" i="9"/>
  <c r="M7" i="9"/>
  <c r="L161" i="9"/>
  <c r="L160" i="9" s="1"/>
  <c r="K92" i="1"/>
  <c r="K188" i="1"/>
  <c r="K97" i="1"/>
  <c r="M95" i="1"/>
  <c r="L96" i="1"/>
  <c r="L97" i="1" s="1"/>
  <c r="L134" i="1" s="1"/>
  <c r="L98" i="1"/>
  <c r="L56" i="1"/>
  <c r="G24" i="1"/>
  <c r="J13" i="1"/>
  <c r="L1" i="1"/>
  <c r="K5" i="1"/>
  <c r="K11" i="1"/>
  <c r="J9" i="1"/>
  <c r="K9" i="1" s="1"/>
  <c r="H122" i="1"/>
  <c r="G122" i="1"/>
  <c r="G29" i="1"/>
  <c r="F163" i="1"/>
  <c r="K41" i="1"/>
  <c r="K187" i="9" s="1"/>
  <c r="M196" i="1"/>
  <c r="M36" i="1"/>
  <c r="L47" i="1"/>
  <c r="K50" i="1"/>
  <c r="K90" i="1" s="1"/>
  <c r="D24" i="1"/>
  <c r="C32" i="11" s="1"/>
  <c r="L55" i="1"/>
  <c r="I106" i="1"/>
  <c r="F47" i="11" s="1"/>
  <c r="L51" i="1"/>
  <c r="L54" i="1"/>
  <c r="L52" i="1"/>
  <c r="L53" i="1"/>
  <c r="L60" i="1"/>
  <c r="M49" i="1"/>
  <c r="M38" i="1"/>
  <c r="M37" i="1"/>
  <c r="M57" i="1"/>
  <c r="M58" i="1"/>
  <c r="M46" i="1"/>
  <c r="N32" i="1"/>
  <c r="N40" i="1" s="1"/>
  <c r="D59" i="1"/>
  <c r="E59" i="1" s="1"/>
  <c r="E109" i="1" s="1"/>
  <c r="B50" i="11" s="1"/>
  <c r="K192" i="9" l="1"/>
  <c r="K184" i="9"/>
  <c r="H141" i="9"/>
  <c r="G146" i="9"/>
  <c r="N7" i="9"/>
  <c r="N161" i="9" s="1"/>
  <c r="N160" i="9" s="1"/>
  <c r="M161" i="9"/>
  <c r="M160" i="9" s="1"/>
  <c r="E146" i="9"/>
  <c r="D145" i="9"/>
  <c r="C35" i="11"/>
  <c r="C36" i="11"/>
  <c r="C34" i="11"/>
  <c r="L92" i="1"/>
  <c r="L188" i="1"/>
  <c r="K134" i="1"/>
  <c r="L41" i="1"/>
  <c r="N95" i="1"/>
  <c r="M96" i="1"/>
  <c r="M98" i="1"/>
  <c r="E104" i="11"/>
  <c r="D104" i="11"/>
  <c r="G139" i="1"/>
  <c r="F59" i="1"/>
  <c r="F109" i="1" s="1"/>
  <c r="C50" i="11" s="1"/>
  <c r="M56" i="1"/>
  <c r="K13" i="1"/>
  <c r="M1" i="1"/>
  <c r="L5" i="1"/>
  <c r="L11" i="1"/>
  <c r="K7" i="1"/>
  <c r="H29" i="1"/>
  <c r="G163" i="1"/>
  <c r="J106" i="1"/>
  <c r="G47" i="11" s="1"/>
  <c r="I161" i="1"/>
  <c r="N196" i="1"/>
  <c r="N36" i="1"/>
  <c r="M47" i="1"/>
  <c r="M188" i="1" s="1"/>
  <c r="L50" i="1"/>
  <c r="L90" i="1" s="1"/>
  <c r="M60" i="1"/>
  <c r="M55" i="1"/>
  <c r="M53" i="1"/>
  <c r="M52" i="1"/>
  <c r="M54" i="1"/>
  <c r="M51" i="1"/>
  <c r="N46" i="1"/>
  <c r="N49" i="1"/>
  <c r="N38" i="1"/>
  <c r="N37" i="1"/>
  <c r="N58" i="1"/>
  <c r="N57" i="1"/>
  <c r="I137" i="9" l="1"/>
  <c r="H142" i="9"/>
  <c r="M41" i="1"/>
  <c r="M187" i="9" s="1"/>
  <c r="L187" i="9"/>
  <c r="F147" i="9"/>
  <c r="E147" i="9"/>
  <c r="G147" i="9"/>
  <c r="G169" i="9" s="1"/>
  <c r="G170" i="9" s="1"/>
  <c r="M97" i="1"/>
  <c r="N96" i="1"/>
  <c r="N97" i="1" s="1"/>
  <c r="N134" i="1" s="1"/>
  <c r="N98" i="1"/>
  <c r="D98" i="1" s="1"/>
  <c r="G59" i="1"/>
  <c r="G109" i="1" s="1"/>
  <c r="D50" i="11" s="1"/>
  <c r="N56" i="1"/>
  <c r="L7" i="1"/>
  <c r="N1" i="1"/>
  <c r="M5" i="1"/>
  <c r="L9" i="1"/>
  <c r="L13" i="1"/>
  <c r="H163" i="1"/>
  <c r="M50" i="1"/>
  <c r="M90" i="1" s="1"/>
  <c r="N60" i="1"/>
  <c r="N55" i="1"/>
  <c r="N52" i="1"/>
  <c r="N54" i="1"/>
  <c r="N53" i="1"/>
  <c r="N51" i="1"/>
  <c r="N47" i="1"/>
  <c r="M192" i="9" l="1"/>
  <c r="M184" i="9"/>
  <c r="N41" i="1"/>
  <c r="N187" i="9" s="1"/>
  <c r="G148" i="9"/>
  <c r="G149" i="9" s="1"/>
  <c r="E169" i="9"/>
  <c r="F169" i="9"/>
  <c r="F170" i="9" s="1"/>
  <c r="F148" i="9"/>
  <c r="F149" i="9" s="1"/>
  <c r="H146" i="9"/>
  <c r="E148" i="9"/>
  <c r="L192" i="9"/>
  <c r="L184" i="9"/>
  <c r="I141" i="9"/>
  <c r="D137" i="9"/>
  <c r="N92" i="1"/>
  <c r="D92" i="1" s="1"/>
  <c r="N188" i="1"/>
  <c r="C21" i="8" s="1"/>
  <c r="M134" i="1"/>
  <c r="D134" i="1" s="1"/>
  <c r="C6" i="8" s="1"/>
  <c r="D97" i="1"/>
  <c r="D96" i="1"/>
  <c r="H59" i="1"/>
  <c r="H109" i="1" s="1"/>
  <c r="E50" i="11" s="1"/>
  <c r="M13" i="1"/>
  <c r="M7" i="1"/>
  <c r="M9" i="1"/>
  <c r="N5" i="1"/>
  <c r="M11" i="1"/>
  <c r="J161" i="1"/>
  <c r="N50" i="1"/>
  <c r="N90" i="1" s="1"/>
  <c r="D90" i="1" s="1"/>
  <c r="E42" i="1"/>
  <c r="E91" i="1" s="1"/>
  <c r="D204" i="1" l="1"/>
  <c r="D205" i="1" s="1"/>
  <c r="D206" i="1" s="1"/>
  <c r="E149" i="9"/>
  <c r="D20" i="8"/>
  <c r="N192" i="9"/>
  <c r="D22" i="8" s="1"/>
  <c r="N184" i="9"/>
  <c r="D17" i="8" s="1"/>
  <c r="I142" i="9"/>
  <c r="D141" i="9"/>
  <c r="H147" i="9"/>
  <c r="E170" i="9"/>
  <c r="E116" i="1"/>
  <c r="B56" i="11" s="1"/>
  <c r="I59" i="1"/>
  <c r="I109" i="1" s="1"/>
  <c r="F50" i="11" s="1"/>
  <c r="N13" i="1"/>
  <c r="N7" i="1"/>
  <c r="N9" i="1"/>
  <c r="N11" i="1"/>
  <c r="K106" i="1"/>
  <c r="H47" i="11" s="1"/>
  <c r="F42" i="1"/>
  <c r="F91" i="1" s="1"/>
  <c r="D38" i="1"/>
  <c r="D36" i="1"/>
  <c r="E150" i="9" l="1"/>
  <c r="H148" i="9"/>
  <c r="H169" i="9"/>
  <c r="I146" i="9"/>
  <c r="D142" i="9"/>
  <c r="C27" i="8"/>
  <c r="J59" i="1"/>
  <c r="J109" i="1" s="1"/>
  <c r="G50" i="11" s="1"/>
  <c r="K161" i="1"/>
  <c r="G42" i="1"/>
  <c r="H149" i="9" l="1"/>
  <c r="E151" i="9"/>
  <c r="F150" i="9"/>
  <c r="D146" i="9"/>
  <c r="I147" i="9"/>
  <c r="I148" i="9" s="1"/>
  <c r="I149" i="9" s="1"/>
  <c r="L147" i="9"/>
  <c r="K147" i="9"/>
  <c r="J147" i="9"/>
  <c r="H170" i="9"/>
  <c r="C28" i="8"/>
  <c r="C29" i="8"/>
  <c r="K59" i="1"/>
  <c r="K109" i="1" s="1"/>
  <c r="H50" i="11" s="1"/>
  <c r="H42" i="1"/>
  <c r="G91" i="1"/>
  <c r="L161" i="1"/>
  <c r="L106" i="1"/>
  <c r="I47" i="11" s="1"/>
  <c r="F116" i="1"/>
  <c r="C56" i="11" s="1"/>
  <c r="K148" i="9" l="1"/>
  <c r="K149" i="9" s="1"/>
  <c r="K169" i="9"/>
  <c r="K170" i="9" s="1"/>
  <c r="I169" i="9"/>
  <c r="D147" i="9"/>
  <c r="J169" i="9"/>
  <c r="J170" i="9" s="1"/>
  <c r="J148" i="9"/>
  <c r="J149" i="9" s="1"/>
  <c r="L169" i="9"/>
  <c r="L170" i="9" s="1"/>
  <c r="L148" i="9"/>
  <c r="L149" i="9" s="1"/>
  <c r="F151" i="9"/>
  <c r="G150" i="9"/>
  <c r="G151" i="9" s="1"/>
  <c r="G116" i="1"/>
  <c r="D56" i="11" s="1"/>
  <c r="L59" i="1"/>
  <c r="L109" i="1" s="1"/>
  <c r="I50" i="11" s="1"/>
  <c r="I42" i="1"/>
  <c r="H91" i="1"/>
  <c r="M106" i="1"/>
  <c r="J47" i="11" s="1"/>
  <c r="D33" i="1"/>
  <c r="E33" i="1" s="1"/>
  <c r="E168" i="1" s="1"/>
  <c r="D149" i="9" l="1"/>
  <c r="D157" i="9" s="1"/>
  <c r="D15" i="8" s="1"/>
  <c r="H150" i="9"/>
  <c r="H151" i="9" s="1"/>
  <c r="D153" i="9"/>
  <c r="D10" i="8" s="1"/>
  <c r="D155" i="9"/>
  <c r="D8" i="8" s="1"/>
  <c r="D156" i="9"/>
  <c r="D13" i="8" s="1"/>
  <c r="D148" i="9"/>
  <c r="I170" i="9"/>
  <c r="B176" i="9"/>
  <c r="D169" i="9"/>
  <c r="B134" i="11"/>
  <c r="E167" i="1"/>
  <c r="H116" i="1"/>
  <c r="E56" i="11" s="1"/>
  <c r="M59" i="1"/>
  <c r="M109" i="1" s="1"/>
  <c r="J50" i="11" s="1"/>
  <c r="J42" i="1"/>
  <c r="I91" i="1"/>
  <c r="M161" i="1"/>
  <c r="F33" i="1"/>
  <c r="I150" i="9" l="1"/>
  <c r="I151" i="9" s="1"/>
  <c r="D35" i="8"/>
  <c r="C176" i="9"/>
  <c r="D41" i="8" s="1"/>
  <c r="B181" i="9"/>
  <c r="C181" i="9" s="1"/>
  <c r="B175" i="9"/>
  <c r="D170" i="9"/>
  <c r="D158" i="9"/>
  <c r="D14" i="8" s="1"/>
  <c r="D152" i="9"/>
  <c r="D12" i="8" s="1"/>
  <c r="B133" i="11"/>
  <c r="F168" i="1"/>
  <c r="C134" i="11" s="1"/>
  <c r="F167" i="1"/>
  <c r="I116" i="1"/>
  <c r="F56" i="11" s="1"/>
  <c r="N59" i="1"/>
  <c r="N109" i="1" s="1"/>
  <c r="K50" i="11" s="1"/>
  <c r="K42" i="1"/>
  <c r="J91" i="1"/>
  <c r="N161" i="1"/>
  <c r="N106" i="1"/>
  <c r="K47" i="11" s="1"/>
  <c r="E190" i="1"/>
  <c r="G33" i="1"/>
  <c r="J150" i="9" l="1"/>
  <c r="K150" i="9" s="1"/>
  <c r="D34" i="8"/>
  <c r="B180" i="9"/>
  <c r="C180" i="9" s="1"/>
  <c r="C175" i="9"/>
  <c r="D40" i="8" s="1"/>
  <c r="J151" i="9"/>
  <c r="G168" i="1"/>
  <c r="D134" i="11" s="1"/>
  <c r="G165" i="1"/>
  <c r="G167" i="1"/>
  <c r="D109" i="1"/>
  <c r="J116" i="1"/>
  <c r="G56" i="11" s="1"/>
  <c r="L42" i="1"/>
  <c r="K91" i="1"/>
  <c r="C133" i="11"/>
  <c r="D106" i="1"/>
  <c r="H33" i="1"/>
  <c r="K151" i="9" l="1"/>
  <c r="L150" i="9"/>
  <c r="D133" i="11"/>
  <c r="H168" i="1"/>
  <c r="E134" i="11" s="1"/>
  <c r="H167" i="1"/>
  <c r="E133" i="11" s="1"/>
  <c r="K116" i="1"/>
  <c r="H56" i="11" s="1"/>
  <c r="M42" i="1"/>
  <c r="L91" i="1"/>
  <c r="I33" i="1"/>
  <c r="M150" i="9" l="1"/>
  <c r="L151" i="9"/>
  <c r="L116" i="1"/>
  <c r="I56" i="11" s="1"/>
  <c r="I168" i="1"/>
  <c r="F134" i="11" s="1"/>
  <c r="I167" i="1"/>
  <c r="N42" i="1"/>
  <c r="N91" i="1" s="1"/>
  <c r="M91" i="1"/>
  <c r="J33" i="1"/>
  <c r="D91" i="1" l="1"/>
  <c r="M151" i="9"/>
  <c r="N150" i="9"/>
  <c r="N151" i="9" s="1"/>
  <c r="F133" i="11"/>
  <c r="M116" i="1"/>
  <c r="J56" i="11" s="1"/>
  <c r="J168" i="1"/>
  <c r="G134" i="11" s="1"/>
  <c r="J167" i="1"/>
  <c r="G133" i="11" s="1"/>
  <c r="N116" i="1"/>
  <c r="K56" i="11" s="1"/>
  <c r="K33" i="1"/>
  <c r="D154" i="9" l="1"/>
  <c r="D11" i="8" s="1"/>
  <c r="D151" i="9"/>
  <c r="D116" i="1"/>
  <c r="K168" i="1"/>
  <c r="H134" i="11" s="1"/>
  <c r="K167" i="1"/>
  <c r="H133" i="11" s="1"/>
  <c r="L33" i="1"/>
  <c r="L168" i="1" l="1"/>
  <c r="I134" i="11" s="1"/>
  <c r="L167" i="1"/>
  <c r="M33" i="1"/>
  <c r="I133" i="11" l="1"/>
  <c r="M168" i="1"/>
  <c r="J134" i="11" s="1"/>
  <c r="M167" i="1"/>
  <c r="J133" i="11" s="1"/>
  <c r="N33" i="1"/>
  <c r="N168" i="1" l="1"/>
  <c r="K134" i="11" s="1"/>
  <c r="N167" i="1"/>
  <c r="B174" i="1" l="1"/>
  <c r="B179" i="1" s="1"/>
  <c r="D167" i="1"/>
  <c r="K133" i="11"/>
  <c r="D168" i="1"/>
  <c r="C33" i="8" l="1"/>
  <c r="B123" i="11"/>
  <c r="C103" i="11" l="1"/>
  <c r="H19" i="1"/>
  <c r="E20" i="1"/>
  <c r="H187" i="1" l="1"/>
  <c r="H192" i="1" s="1"/>
  <c r="E168" i="11" s="1"/>
  <c r="H195" i="1"/>
  <c r="F14" i="11"/>
  <c r="E108" i="1"/>
  <c r="B49" i="11" s="1"/>
  <c r="E123" i="1"/>
  <c r="F123" i="1"/>
  <c r="I18" i="1"/>
  <c r="I121" i="1" s="1"/>
  <c r="D105" i="11"/>
  <c r="F190" i="1"/>
  <c r="E21" i="1"/>
  <c r="G162" i="1"/>
  <c r="G197" i="1"/>
  <c r="F162" i="1"/>
  <c r="D103" i="11"/>
  <c r="B103" i="11"/>
  <c r="G190" i="1"/>
  <c r="F197" i="1"/>
  <c r="F199" i="1" l="1"/>
  <c r="F186" i="1" s="1"/>
  <c r="F198" i="1"/>
  <c r="G198" i="1"/>
  <c r="G199" i="1"/>
  <c r="G186" i="1" s="1"/>
  <c r="E198" i="1"/>
  <c r="E199" i="1"/>
  <c r="E186" i="1" s="1"/>
  <c r="E185" i="1"/>
  <c r="E164" i="1"/>
  <c r="E160" i="1" s="1"/>
  <c r="F139" i="1"/>
  <c r="F165" i="1"/>
  <c r="E139" i="1"/>
  <c r="E165" i="1"/>
  <c r="I118" i="1"/>
  <c r="G107" i="1"/>
  <c r="I113" i="1"/>
  <c r="F54" i="11" s="1"/>
  <c r="I110" i="1"/>
  <c r="F51" i="11" s="1"/>
  <c r="I111" i="1"/>
  <c r="F52" i="11" s="1"/>
  <c r="I112" i="1"/>
  <c r="F53" i="11" s="1"/>
  <c r="I19" i="1"/>
  <c r="I28" i="1"/>
  <c r="F21" i="1"/>
  <c r="F185" i="1" s="1"/>
  <c r="F193" i="1" s="1"/>
  <c r="C169" i="11" s="1"/>
  <c r="C170" i="11" s="1"/>
  <c r="C105" i="11"/>
  <c r="F124" i="1"/>
  <c r="B105" i="11"/>
  <c r="G124" i="1"/>
  <c r="E124" i="1"/>
  <c r="H190" i="1"/>
  <c r="I187" i="1" l="1"/>
  <c r="G14" i="11"/>
  <c r="I195" i="1"/>
  <c r="G108" i="1"/>
  <c r="D49" i="11" s="1"/>
  <c r="D48" i="11"/>
  <c r="B64" i="11"/>
  <c r="E184" i="1"/>
  <c r="E193" i="1"/>
  <c r="B169" i="11" s="1"/>
  <c r="B170" i="11" s="1"/>
  <c r="C64" i="11"/>
  <c r="D64" i="11"/>
  <c r="I191" i="1"/>
  <c r="I189" i="1" s="1"/>
  <c r="F164" i="1"/>
  <c r="F160" i="1" s="1"/>
  <c r="C151" i="11" s="1"/>
  <c r="B151" i="11"/>
  <c r="I122" i="1"/>
  <c r="I29" i="1"/>
  <c r="G21" i="1"/>
  <c r="I192" i="1" l="1"/>
  <c r="F168" i="11" s="1"/>
  <c r="G164" i="1"/>
  <c r="G160" i="1" s="1"/>
  <c r="D151" i="11" s="1"/>
  <c r="G185" i="1"/>
  <c r="F184" i="1"/>
  <c r="I163" i="1"/>
  <c r="F104" i="11"/>
  <c r="G184" i="1" l="1"/>
  <c r="G193" i="1"/>
  <c r="D169" i="11" s="1"/>
  <c r="D170" i="11" s="1"/>
  <c r="H162" i="1"/>
  <c r="H27" i="1"/>
  <c r="H26" i="1"/>
  <c r="H25" i="1"/>
  <c r="H197" i="1" l="1"/>
  <c r="H24" i="1"/>
  <c r="I190" i="1"/>
  <c r="H20" i="1"/>
  <c r="H198" i="1" l="1"/>
  <c r="H199" i="1"/>
  <c r="H186" i="1" s="1"/>
  <c r="H123" i="1"/>
  <c r="H21" i="1"/>
  <c r="E103" i="11"/>
  <c r="H164" i="1" l="1"/>
  <c r="H185" i="1"/>
  <c r="H193" i="1" s="1"/>
  <c r="E169" i="11" s="1"/>
  <c r="E170" i="11" s="1"/>
  <c r="H139" i="1"/>
  <c r="H165" i="1"/>
  <c r="H124" i="1"/>
  <c r="E105" i="11"/>
  <c r="I20" i="1"/>
  <c r="I123" i="1" s="1"/>
  <c r="I27" i="1"/>
  <c r="I26" i="1"/>
  <c r="I25" i="1"/>
  <c r="E64" i="11" l="1"/>
  <c r="I139" i="1"/>
  <c r="I165" i="1"/>
  <c r="I21" i="1"/>
  <c r="H184" i="1"/>
  <c r="H160" i="1"/>
  <c r="E151" i="11" s="1"/>
  <c r="I24" i="1"/>
  <c r="F103" i="11"/>
  <c r="J18" i="1"/>
  <c r="J121" i="1" s="1"/>
  <c r="I197" i="1"/>
  <c r="I162" i="1"/>
  <c r="I124" i="1"/>
  <c r="F64" i="11" l="1"/>
  <c r="I199" i="1"/>
  <c r="I186" i="1" s="1"/>
  <c r="I198" i="1"/>
  <c r="I164" i="1"/>
  <c r="I160" i="1" s="1"/>
  <c r="F151" i="11" s="1"/>
  <c r="I185" i="1"/>
  <c r="J118" i="1"/>
  <c r="H107" i="1"/>
  <c r="J113" i="1"/>
  <c r="G54" i="11" s="1"/>
  <c r="J112" i="1"/>
  <c r="G53" i="11" s="1"/>
  <c r="J111" i="1"/>
  <c r="G52" i="11" s="1"/>
  <c r="J110" i="1"/>
  <c r="G51" i="11" s="1"/>
  <c r="J19" i="1"/>
  <c r="J28" i="1"/>
  <c r="F105" i="11"/>
  <c r="J25" i="1"/>
  <c r="J20" i="1"/>
  <c r="J27" i="1"/>
  <c r="J26" i="1"/>
  <c r="H108" i="1" l="1"/>
  <c r="E49" i="11" s="1"/>
  <c r="E48" i="11"/>
  <c r="J195" i="1"/>
  <c r="J197" i="1" s="1"/>
  <c r="H14" i="11"/>
  <c r="I193" i="1"/>
  <c r="F169" i="11" s="1"/>
  <c r="F170" i="11" s="1"/>
  <c r="J187" i="1"/>
  <c r="J191" i="1"/>
  <c r="J189" i="1" s="1"/>
  <c r="J123" i="1"/>
  <c r="J122" i="1"/>
  <c r="J29" i="1"/>
  <c r="J162" i="1"/>
  <c r="K18" i="1"/>
  <c r="K121" i="1" s="1"/>
  <c r="I184" i="1"/>
  <c r="J21" i="1"/>
  <c r="G103" i="11"/>
  <c r="J24" i="1"/>
  <c r="J192" i="1" l="1"/>
  <c r="G168" i="11" s="1"/>
  <c r="J198" i="1"/>
  <c r="J199" i="1"/>
  <c r="J186" i="1" s="1"/>
  <c r="J164" i="1"/>
  <c r="J185" i="1"/>
  <c r="J190" i="1"/>
  <c r="J124" i="1"/>
  <c r="G64" i="11" s="1"/>
  <c r="J165" i="1"/>
  <c r="K118" i="1"/>
  <c r="I107" i="1"/>
  <c r="J139" i="1"/>
  <c r="K113" i="1"/>
  <c r="H54" i="11" s="1"/>
  <c r="K112" i="1"/>
  <c r="H53" i="11" s="1"/>
  <c r="K111" i="1"/>
  <c r="H52" i="11" s="1"/>
  <c r="K110" i="1"/>
  <c r="H51" i="11" s="1"/>
  <c r="K19" i="1"/>
  <c r="K28" i="1"/>
  <c r="J163" i="1"/>
  <c r="G104" i="11"/>
  <c r="K26" i="1"/>
  <c r="K27" i="1"/>
  <c r="K20" i="1"/>
  <c r="K123" i="1" s="1"/>
  <c r="K25" i="1"/>
  <c r="G105" i="11"/>
  <c r="K187" i="1" l="1"/>
  <c r="K195" i="1"/>
  <c r="K197" i="1" s="1"/>
  <c r="I14" i="11"/>
  <c r="I108" i="1"/>
  <c r="F49" i="11" s="1"/>
  <c r="F48" i="11"/>
  <c r="J184" i="1"/>
  <c r="J193" i="1"/>
  <c r="G169" i="11" s="1"/>
  <c r="G170" i="11" s="1"/>
  <c r="K191" i="1"/>
  <c r="K189" i="1" s="1"/>
  <c r="K24" i="1"/>
  <c r="K29" i="1"/>
  <c r="K163" i="1" s="1"/>
  <c r="H103" i="11"/>
  <c r="J160" i="1"/>
  <c r="G151" i="11" s="1"/>
  <c r="K122" i="1"/>
  <c r="K139" i="1" s="1"/>
  <c r="K21" i="1"/>
  <c r="K185" i="1" s="1"/>
  <c r="H105" i="11"/>
  <c r="K162" i="1"/>
  <c r="L18" i="1"/>
  <c r="L121" i="1" s="1"/>
  <c r="K192" i="1" l="1"/>
  <c r="H168" i="11" s="1"/>
  <c r="K198" i="1"/>
  <c r="K199" i="1"/>
  <c r="K186" i="1" s="1"/>
  <c r="K193" i="1" s="1"/>
  <c r="H169" i="11" s="1"/>
  <c r="K190" i="1"/>
  <c r="K165" i="1"/>
  <c r="K164" i="1"/>
  <c r="K160" i="1" s="1"/>
  <c r="H151" i="11" s="1"/>
  <c r="L118" i="1"/>
  <c r="J107" i="1"/>
  <c r="L113" i="1"/>
  <c r="I54" i="11" s="1"/>
  <c r="L110" i="1"/>
  <c r="I51" i="11" s="1"/>
  <c r="L112" i="1"/>
  <c r="I53" i="11" s="1"/>
  <c r="L111" i="1"/>
  <c r="I52" i="11" s="1"/>
  <c r="H104" i="11"/>
  <c r="L19" i="1"/>
  <c r="L28" i="1"/>
  <c r="K124" i="1"/>
  <c r="L27" i="1"/>
  <c r="L20" i="1"/>
  <c r="L25" i="1"/>
  <c r="L26" i="1"/>
  <c r="H170" i="11" l="1"/>
  <c r="J108" i="1"/>
  <c r="G49" i="11" s="1"/>
  <c r="G48" i="11"/>
  <c r="L187" i="1"/>
  <c r="J14" i="11"/>
  <c r="L195" i="1"/>
  <c r="L197" i="1" s="1"/>
  <c r="L191" i="1"/>
  <c r="L189" i="1" s="1"/>
  <c r="K184" i="1"/>
  <c r="L123" i="1"/>
  <c r="H64" i="11"/>
  <c r="L122" i="1"/>
  <c r="L29" i="1"/>
  <c r="L24" i="1"/>
  <c r="I103" i="11"/>
  <c r="M18" i="1"/>
  <c r="M121" i="1" s="1"/>
  <c r="L162" i="1"/>
  <c r="L21" i="1"/>
  <c r="L192" i="1" l="1"/>
  <c r="I168" i="11" s="1"/>
  <c r="L199" i="1"/>
  <c r="L186" i="1" s="1"/>
  <c r="L198" i="1"/>
  <c r="L164" i="1"/>
  <c r="L185" i="1"/>
  <c r="L190" i="1"/>
  <c r="L124" i="1"/>
  <c r="L165" i="1"/>
  <c r="L139" i="1"/>
  <c r="M107" i="1"/>
  <c r="M118" i="1"/>
  <c r="K107" i="1"/>
  <c r="L107" i="1"/>
  <c r="M113" i="1"/>
  <c r="J54" i="11" s="1"/>
  <c r="M110" i="1"/>
  <c r="J51" i="11" s="1"/>
  <c r="M112" i="1"/>
  <c r="J53" i="11" s="1"/>
  <c r="M111" i="1"/>
  <c r="J52" i="11" s="1"/>
  <c r="L163" i="1"/>
  <c r="M19" i="1"/>
  <c r="M28" i="1"/>
  <c r="I104" i="11"/>
  <c r="I105" i="11"/>
  <c r="M20" i="1"/>
  <c r="M123" i="1" s="1"/>
  <c r="M25" i="1"/>
  <c r="M27" i="1"/>
  <c r="M26" i="1"/>
  <c r="L108" i="1" l="1"/>
  <c r="I49" i="11" s="1"/>
  <c r="I48" i="11"/>
  <c r="K108" i="1"/>
  <c r="H49" i="11" s="1"/>
  <c r="H48" i="11"/>
  <c r="M108" i="1"/>
  <c r="J49" i="11" s="1"/>
  <c r="J48" i="11"/>
  <c r="M187" i="1"/>
  <c r="K14" i="11"/>
  <c r="M195" i="1"/>
  <c r="M197" i="1" s="1"/>
  <c r="L193" i="1"/>
  <c r="I169" i="11" s="1"/>
  <c r="I170" i="11" s="1"/>
  <c r="I64" i="11"/>
  <c r="M191" i="1"/>
  <c r="M189" i="1" s="1"/>
  <c r="M21" i="1"/>
  <c r="M122" i="1"/>
  <c r="M139" i="1" s="1"/>
  <c r="M29" i="1"/>
  <c r="L160" i="1"/>
  <c r="I151" i="11" s="1"/>
  <c r="L184" i="1"/>
  <c r="J103" i="11"/>
  <c r="M24" i="1"/>
  <c r="J105" i="11"/>
  <c r="M162" i="1"/>
  <c r="N18" i="1"/>
  <c r="N121" i="1" s="1"/>
  <c r="M192" i="1" l="1"/>
  <c r="J168" i="11" s="1"/>
  <c r="M199" i="1"/>
  <c r="M186" i="1" s="1"/>
  <c r="M198" i="1"/>
  <c r="M164" i="1"/>
  <c r="M185" i="1"/>
  <c r="M190" i="1"/>
  <c r="M165" i="1"/>
  <c r="D121" i="1"/>
  <c r="N118" i="1"/>
  <c r="N107" i="1"/>
  <c r="N113" i="1"/>
  <c r="K54" i="11" s="1"/>
  <c r="N110" i="1"/>
  <c r="K51" i="11" s="1"/>
  <c r="N111" i="1"/>
  <c r="K52" i="11" s="1"/>
  <c r="N112" i="1"/>
  <c r="K53" i="11" s="1"/>
  <c r="J104" i="11"/>
  <c r="M124" i="1"/>
  <c r="M163" i="1"/>
  <c r="N19" i="1"/>
  <c r="N28" i="1"/>
  <c r="N25" i="1"/>
  <c r="N26" i="1"/>
  <c r="N27" i="1"/>
  <c r="N20" i="1"/>
  <c r="N187" i="1" l="1"/>
  <c r="N195" i="1"/>
  <c r="L14" i="11"/>
  <c r="N108" i="1"/>
  <c r="K49" i="11" s="1"/>
  <c r="K48" i="11"/>
  <c r="M193" i="1"/>
  <c r="J169" i="11" s="1"/>
  <c r="J170" i="11" s="1"/>
  <c r="M160" i="1"/>
  <c r="J151" i="11" s="1"/>
  <c r="N191" i="1"/>
  <c r="N189" i="1" s="1"/>
  <c r="N123" i="1"/>
  <c r="D112" i="1"/>
  <c r="D107" i="1"/>
  <c r="D111" i="1"/>
  <c r="D118" i="1"/>
  <c r="D201" i="1" s="1"/>
  <c r="D202" i="1" s="1"/>
  <c r="D203" i="1" s="1"/>
  <c r="D110" i="1"/>
  <c r="J64" i="11"/>
  <c r="N122" i="1"/>
  <c r="M184" i="1"/>
  <c r="N29" i="1"/>
  <c r="N163" i="1" s="1"/>
  <c r="N24" i="1"/>
  <c r="N197" i="1"/>
  <c r="N162" i="1"/>
  <c r="N21" i="1"/>
  <c r="N185" i="1" s="1"/>
  <c r="D113" i="1"/>
  <c r="K103" i="11"/>
  <c r="N139" i="1" l="1"/>
  <c r="N192" i="1"/>
  <c r="C22" i="8" s="1"/>
  <c r="D108" i="1"/>
  <c r="N199" i="1"/>
  <c r="N198" i="1"/>
  <c r="N190" i="1"/>
  <c r="D190" i="1" s="1"/>
  <c r="N165" i="1"/>
  <c r="N164" i="1"/>
  <c r="C18" i="8" s="1"/>
  <c r="E114" i="1"/>
  <c r="F114" i="1"/>
  <c r="G114" i="1"/>
  <c r="H114" i="1"/>
  <c r="I114" i="1"/>
  <c r="J114" i="1"/>
  <c r="K114" i="1"/>
  <c r="L114" i="1"/>
  <c r="M114" i="1"/>
  <c r="N114" i="1"/>
  <c r="K55" i="11" s="1"/>
  <c r="C5" i="8"/>
  <c r="N124" i="1"/>
  <c r="K104" i="11"/>
  <c r="D122" i="1"/>
  <c r="C20" i="8"/>
  <c r="K105" i="11"/>
  <c r="D123" i="1"/>
  <c r="K168" i="11" l="1"/>
  <c r="K166" i="1"/>
  <c r="H55" i="11"/>
  <c r="G166" i="1"/>
  <c r="D55" i="11"/>
  <c r="F166" i="1"/>
  <c r="C55" i="11"/>
  <c r="J166" i="1"/>
  <c r="G132" i="11" s="1"/>
  <c r="G55" i="11"/>
  <c r="M166" i="1"/>
  <c r="J132" i="11" s="1"/>
  <c r="J55" i="11"/>
  <c r="I166" i="1"/>
  <c r="F55" i="11"/>
  <c r="E166" i="1"/>
  <c r="B55" i="11"/>
  <c r="L166" i="1"/>
  <c r="I55" i="11"/>
  <c r="H166" i="1"/>
  <c r="E55" i="11"/>
  <c r="D124" i="1"/>
  <c r="C25" i="8"/>
  <c r="N186" i="1"/>
  <c r="N193" i="1" s="1"/>
  <c r="N160" i="1"/>
  <c r="K151" i="11" s="1"/>
  <c r="N166" i="1"/>
  <c r="L117" i="1"/>
  <c r="I57" i="11" s="1"/>
  <c r="L138" i="1"/>
  <c r="L140" i="1" s="1"/>
  <c r="L141" i="1" s="1"/>
  <c r="L142" i="1" s="1"/>
  <c r="H138" i="1"/>
  <c r="H140" i="1" s="1"/>
  <c r="H117" i="1"/>
  <c r="E57" i="11" s="1"/>
  <c r="K117" i="1"/>
  <c r="H57" i="11" s="1"/>
  <c r="K138" i="1"/>
  <c r="K140" i="1" s="1"/>
  <c r="K141" i="1" s="1"/>
  <c r="K142" i="1" s="1"/>
  <c r="G138" i="1"/>
  <c r="G140" i="1" s="1"/>
  <c r="G117" i="1"/>
  <c r="D57" i="11" s="1"/>
  <c r="N138" i="1"/>
  <c r="N140" i="1" s="1"/>
  <c r="N117" i="1"/>
  <c r="K57" i="11" s="1"/>
  <c r="J138" i="1"/>
  <c r="J140" i="1" s="1"/>
  <c r="J141" i="1" s="1"/>
  <c r="J142" i="1" s="1"/>
  <c r="J117" i="1"/>
  <c r="G57" i="11" s="1"/>
  <c r="F117" i="1"/>
  <c r="C57" i="11" s="1"/>
  <c r="F138" i="1"/>
  <c r="F140" i="1" s="1"/>
  <c r="D114" i="1"/>
  <c r="M138" i="1"/>
  <c r="M140" i="1" s="1"/>
  <c r="M141" i="1" s="1"/>
  <c r="M142" i="1" s="1"/>
  <c r="M117" i="1"/>
  <c r="J57" i="11" s="1"/>
  <c r="I138" i="1"/>
  <c r="I140" i="1" s="1"/>
  <c r="I117" i="1"/>
  <c r="F57" i="11" s="1"/>
  <c r="E117" i="1"/>
  <c r="E138" i="1"/>
  <c r="K64" i="11"/>
  <c r="D139" i="1"/>
  <c r="D165" i="1"/>
  <c r="B172" i="1" s="1"/>
  <c r="B57" i="11" l="1"/>
  <c r="E105" i="1"/>
  <c r="E129" i="1" s="1"/>
  <c r="B173" i="1"/>
  <c r="K169" i="11"/>
  <c r="K170" i="11" s="1"/>
  <c r="C23" i="8"/>
  <c r="K132" i="11"/>
  <c r="D166" i="1"/>
  <c r="F105" i="1"/>
  <c r="F129" i="1" s="1"/>
  <c r="F131" i="1" s="1"/>
  <c r="F130" i="1" s="1"/>
  <c r="F132" i="1" s="1"/>
  <c r="F133" i="1" s="1"/>
  <c r="F135" i="1" s="1"/>
  <c r="K105" i="1"/>
  <c r="K129" i="1" s="1"/>
  <c r="K131" i="1" s="1"/>
  <c r="K130" i="1" s="1"/>
  <c r="K132" i="1" s="1"/>
  <c r="K133" i="1" s="1"/>
  <c r="K135" i="1" s="1"/>
  <c r="H63" i="11" s="1"/>
  <c r="L105" i="1"/>
  <c r="L129" i="1" s="1"/>
  <c r="L131" i="1" s="1"/>
  <c r="L130" i="1" s="1"/>
  <c r="L132" i="1" s="1"/>
  <c r="L133" i="1" s="1"/>
  <c r="L135" i="1" s="1"/>
  <c r="I63" i="11" s="1"/>
  <c r="J105" i="1"/>
  <c r="J129" i="1" s="1"/>
  <c r="H132" i="11"/>
  <c r="H105" i="1"/>
  <c r="H129" i="1" s="1"/>
  <c r="B132" i="11"/>
  <c r="C173" i="1"/>
  <c r="C38" i="8" s="1"/>
  <c r="I105" i="1"/>
  <c r="I129" i="1" s="1"/>
  <c r="C132" i="11"/>
  <c r="I132" i="11"/>
  <c r="E140" i="1"/>
  <c r="E141" i="1" s="1"/>
  <c r="D138" i="1"/>
  <c r="F132" i="11"/>
  <c r="M105" i="1"/>
  <c r="M129" i="1" s="1"/>
  <c r="M131" i="1" s="1"/>
  <c r="M130" i="1" s="1"/>
  <c r="D132" i="11"/>
  <c r="D117" i="1"/>
  <c r="N105" i="1"/>
  <c r="G105" i="1"/>
  <c r="G129" i="1" s="1"/>
  <c r="E132" i="11"/>
  <c r="N141" i="1"/>
  <c r="C31" i="8"/>
  <c r="B177" i="1"/>
  <c r="C174" i="1"/>
  <c r="C39" i="8" s="1"/>
  <c r="C19" i="8"/>
  <c r="N184" i="1"/>
  <c r="C63" i="11" l="1"/>
  <c r="F144" i="1"/>
  <c r="C79" i="11" s="1"/>
  <c r="F145" i="1"/>
  <c r="K144" i="1"/>
  <c r="H79" i="11" s="1"/>
  <c r="K145" i="1"/>
  <c r="K146" i="1" s="1"/>
  <c r="L144" i="1"/>
  <c r="I79" i="11" s="1"/>
  <c r="L145" i="1"/>
  <c r="L146" i="1" s="1"/>
  <c r="D140" i="1"/>
  <c r="D105" i="1"/>
  <c r="N129" i="1"/>
  <c r="E131" i="1"/>
  <c r="E130" i="1" s="1"/>
  <c r="H65" i="11"/>
  <c r="K157" i="1"/>
  <c r="C65" i="11"/>
  <c r="F157" i="1"/>
  <c r="I131" i="1"/>
  <c r="I130" i="1" s="1"/>
  <c r="I65" i="11"/>
  <c r="L157" i="1"/>
  <c r="C32" i="8"/>
  <c r="B178" i="1"/>
  <c r="B122" i="11" s="1"/>
  <c r="G131" i="1"/>
  <c r="G130" i="1" s="1"/>
  <c r="M132" i="1"/>
  <c r="M133" i="1" s="1"/>
  <c r="M135" i="1" s="1"/>
  <c r="J63" i="11" s="1"/>
  <c r="J65" i="11"/>
  <c r="F137" i="1"/>
  <c r="F141" i="1" s="1"/>
  <c r="E142" i="1"/>
  <c r="H131" i="1"/>
  <c r="H130" i="1" s="1"/>
  <c r="J131" i="1"/>
  <c r="J130" i="1" s="1"/>
  <c r="N142" i="1"/>
  <c r="C179" i="1"/>
  <c r="B121" i="11"/>
  <c r="C17" i="8"/>
  <c r="M144" i="1" l="1"/>
  <c r="J79" i="11" s="1"/>
  <c r="M145" i="1"/>
  <c r="M146" i="1" s="1"/>
  <c r="C178" i="1"/>
  <c r="M157" i="1"/>
  <c r="E65" i="11"/>
  <c r="H132" i="1"/>
  <c r="H133" i="1" s="1"/>
  <c r="H135" i="1" s="1"/>
  <c r="E63" i="11" s="1"/>
  <c r="D65" i="11"/>
  <c r="G132" i="1"/>
  <c r="G133" i="1" s="1"/>
  <c r="G135" i="1" s="1"/>
  <c r="D63" i="11" s="1"/>
  <c r="G65" i="11"/>
  <c r="J132" i="1"/>
  <c r="J133" i="1" s="1"/>
  <c r="J135" i="1" s="1"/>
  <c r="G63" i="11" s="1"/>
  <c r="F65" i="11"/>
  <c r="I132" i="1"/>
  <c r="I133" i="1" s="1"/>
  <c r="B65" i="11"/>
  <c r="E132" i="1"/>
  <c r="E133" i="1" s="1"/>
  <c r="E135" i="1" s="1"/>
  <c r="E144" i="1" s="1"/>
  <c r="D129" i="1"/>
  <c r="N131" i="1"/>
  <c r="G137" i="1"/>
  <c r="G141" i="1" s="1"/>
  <c r="F142" i="1"/>
  <c r="F146" i="1" s="1"/>
  <c r="C80" i="11"/>
  <c r="H80" i="11"/>
  <c r="I80" i="11"/>
  <c r="J144" i="1" l="1"/>
  <c r="G79" i="11" s="1"/>
  <c r="J145" i="1"/>
  <c r="J146" i="1" s="1"/>
  <c r="G144" i="1"/>
  <c r="D79" i="11" s="1"/>
  <c r="G145" i="1"/>
  <c r="M147" i="1"/>
  <c r="M148" i="1" s="1"/>
  <c r="M149" i="1" s="1"/>
  <c r="H144" i="1"/>
  <c r="E79" i="11" s="1"/>
  <c r="H145" i="1"/>
  <c r="J157" i="1"/>
  <c r="H157" i="1"/>
  <c r="G142" i="1"/>
  <c r="H137" i="1"/>
  <c r="H141" i="1" s="1"/>
  <c r="N130" i="1"/>
  <c r="D131" i="1"/>
  <c r="I157" i="1"/>
  <c r="I135" i="1"/>
  <c r="F63" i="11" s="1"/>
  <c r="J80" i="11"/>
  <c r="E157" i="1"/>
  <c r="G157" i="1"/>
  <c r="B79" i="11" l="1"/>
  <c r="B63" i="11"/>
  <c r="E145" i="1"/>
  <c r="I144" i="1"/>
  <c r="F79" i="11" s="1"/>
  <c r="I145" i="1"/>
  <c r="G146" i="1"/>
  <c r="K65" i="11"/>
  <c r="N132" i="1"/>
  <c r="D130" i="1"/>
  <c r="G80" i="11"/>
  <c r="M169" i="1"/>
  <c r="D80" i="11"/>
  <c r="E80" i="11"/>
  <c r="I137" i="1"/>
  <c r="H142" i="1"/>
  <c r="H146" i="1" s="1"/>
  <c r="E146" i="1" l="1"/>
  <c r="J135" i="11"/>
  <c r="M170" i="1"/>
  <c r="J136" i="11" s="1"/>
  <c r="F80" i="11"/>
  <c r="D137" i="1"/>
  <c r="I141" i="1"/>
  <c r="J81" i="11"/>
  <c r="N133" i="1"/>
  <c r="D132" i="1"/>
  <c r="C7" i="8" s="1"/>
  <c r="B80" i="11"/>
  <c r="G147" i="1" l="1"/>
  <c r="G148" i="1" s="1"/>
  <c r="G149" i="1" s="1"/>
  <c r="F147" i="1"/>
  <c r="F148" i="1" s="1"/>
  <c r="F149" i="1" s="1"/>
  <c r="H147" i="1"/>
  <c r="H148" i="1" s="1"/>
  <c r="H149" i="1" s="1"/>
  <c r="E147" i="1"/>
  <c r="E148" i="1" s="1"/>
  <c r="I142" i="1"/>
  <c r="I146" i="1" s="1"/>
  <c r="J147" i="1" s="1"/>
  <c r="J148" i="1" s="1"/>
  <c r="J149" i="1" s="1"/>
  <c r="D141" i="1"/>
  <c r="N157" i="1"/>
  <c r="D133" i="1"/>
  <c r="C4" i="8" s="1"/>
  <c r="N135" i="1"/>
  <c r="K63" i="11" s="1"/>
  <c r="H169" i="1" l="1"/>
  <c r="F169" i="1"/>
  <c r="E149" i="1"/>
  <c r="G169" i="1"/>
  <c r="E169" i="1"/>
  <c r="E170" i="1" s="1"/>
  <c r="N144" i="1"/>
  <c r="D144" i="1" s="1"/>
  <c r="N145" i="1"/>
  <c r="I147" i="1"/>
  <c r="I148" i="1" s="1"/>
  <c r="L147" i="1"/>
  <c r="L148" i="1" s="1"/>
  <c r="L149" i="1" s="1"/>
  <c r="K147" i="1"/>
  <c r="K148" i="1" s="1"/>
  <c r="K149" i="1" s="1"/>
  <c r="D135" i="1"/>
  <c r="C3" i="8" s="1"/>
  <c r="D142" i="1"/>
  <c r="I149" i="1" l="1"/>
  <c r="N146" i="1"/>
  <c r="D145" i="1"/>
  <c r="E135" i="11"/>
  <c r="H170" i="1"/>
  <c r="E136" i="11" s="1"/>
  <c r="B135" i="11"/>
  <c r="C135" i="11"/>
  <c r="F170" i="1"/>
  <c r="C136" i="11" s="1"/>
  <c r="D135" i="11"/>
  <c r="G170" i="1"/>
  <c r="D136" i="11" s="1"/>
  <c r="D81" i="11"/>
  <c r="K80" i="11"/>
  <c r="E150" i="1"/>
  <c r="E151" i="1" s="1"/>
  <c r="B81" i="11"/>
  <c r="C81" i="11"/>
  <c r="E81" i="11"/>
  <c r="L169" i="1"/>
  <c r="J169" i="1"/>
  <c r="K169" i="1"/>
  <c r="I169" i="1"/>
  <c r="C9" i="8"/>
  <c r="K79" i="11"/>
  <c r="N147" i="1" l="1"/>
  <c r="D147" i="1" s="1"/>
  <c r="D146" i="1"/>
  <c r="B136" i="11"/>
  <c r="I170" i="1"/>
  <c r="F136" i="11" s="1"/>
  <c r="F150" i="1"/>
  <c r="N169" i="1" l="1"/>
  <c r="B176" i="1" s="1"/>
  <c r="N148" i="1"/>
  <c r="D153" i="1" s="1"/>
  <c r="C10" i="8" s="1"/>
  <c r="I135" i="11"/>
  <c r="L170" i="1"/>
  <c r="I136" i="11" s="1"/>
  <c r="H135" i="11"/>
  <c r="K170" i="1"/>
  <c r="H136" i="11" s="1"/>
  <c r="G135" i="11"/>
  <c r="J170" i="1"/>
  <c r="F151" i="1"/>
  <c r="G150" i="1"/>
  <c r="H81" i="11"/>
  <c r="G81" i="11"/>
  <c r="F135" i="11"/>
  <c r="I81" i="11"/>
  <c r="K135" i="11" l="1"/>
  <c r="N170" i="1"/>
  <c r="K136" i="11" s="1"/>
  <c r="D169" i="1"/>
  <c r="N149" i="1"/>
  <c r="D149" i="1" s="1"/>
  <c r="D148" i="1"/>
  <c r="D158" i="1" s="1"/>
  <c r="C14" i="8" s="1"/>
  <c r="G136" i="11"/>
  <c r="F81" i="11"/>
  <c r="G151" i="1"/>
  <c r="H150" i="1"/>
  <c r="H151" i="1" s="1"/>
  <c r="C35" i="8"/>
  <c r="B181" i="1"/>
  <c r="C176" i="1"/>
  <c r="C41" i="8" s="1"/>
  <c r="K81" i="11" l="1"/>
  <c r="B175" i="1"/>
  <c r="B180" i="1" s="1"/>
  <c r="D170" i="1"/>
  <c r="D152" i="1"/>
  <c r="C12" i="8" s="1"/>
  <c r="B125" i="11"/>
  <c r="C181" i="1"/>
  <c r="I150" i="1"/>
  <c r="D156" i="1"/>
  <c r="C13" i="8" s="1"/>
  <c r="D157" i="1"/>
  <c r="C15" i="8" s="1"/>
  <c r="D155" i="1"/>
  <c r="C8" i="8" s="1"/>
  <c r="C175" i="1" l="1"/>
  <c r="C40" i="8" s="1"/>
  <c r="C34" i="8"/>
  <c r="C180" i="1"/>
  <c r="B124" i="11"/>
  <c r="I151" i="1"/>
  <c r="J150" i="1"/>
  <c r="J151" i="1" l="1"/>
  <c r="K150" i="1"/>
  <c r="K151" i="1" l="1"/>
  <c r="L150" i="1"/>
  <c r="L151" i="1" l="1"/>
  <c r="M150" i="1"/>
  <c r="M151" i="1" l="1"/>
  <c r="N150" i="1"/>
  <c r="N151" i="1" s="1"/>
  <c r="D151" i="1" l="1"/>
  <c r="D154" i="1"/>
  <c r="C11" i="8" s="1"/>
</calcChain>
</file>

<file path=xl/sharedStrings.xml><?xml version="1.0" encoding="utf-8"?>
<sst xmlns="http://schemas.openxmlformats.org/spreadsheetml/2006/main" count="2030" uniqueCount="614">
  <si>
    <t>Исходные данные</t>
  </si>
  <si>
    <t>Источник</t>
  </si>
  <si>
    <t>Единицы измерения</t>
  </si>
  <si>
    <t>га</t>
  </si>
  <si>
    <t>тыс. кв. м</t>
  </si>
  <si>
    <t>Средние затраты на строительство жилья (строительно-монтажные работы)</t>
  </si>
  <si>
    <t xml:space="preserve">Средние затраты на благоустройство территорий общего пользования </t>
  </si>
  <si>
    <t xml:space="preserve">Средние затраты на снос </t>
  </si>
  <si>
    <t xml:space="preserve">Параметры инвестиционных и иных расходов </t>
  </si>
  <si>
    <t>тыс. руб./кв. м</t>
  </si>
  <si>
    <t>тыс. руб./кв. м жилья</t>
  </si>
  <si>
    <t>тыс. руб./машино-место</t>
  </si>
  <si>
    <t>Капитальные и операционные расходы</t>
  </si>
  <si>
    <t>Общий объем инвестиций</t>
  </si>
  <si>
    <t>СМР (жилищное строительство)</t>
  </si>
  <si>
    <t>Социальная инфраструктура</t>
  </si>
  <si>
    <t>Транспортная инфраструктура</t>
  </si>
  <si>
    <t>Инженерная инфраструктура</t>
  </si>
  <si>
    <t xml:space="preserve">Благоустройство территорий общего пользования </t>
  </si>
  <si>
    <t>Расчет</t>
  </si>
  <si>
    <t>млн руб.</t>
  </si>
  <si>
    <t>лет</t>
  </si>
  <si>
    <t>тыс. чел.</t>
  </si>
  <si>
    <t>ед.</t>
  </si>
  <si>
    <t>%</t>
  </si>
  <si>
    <t>Инфляция (ИПЦ)</t>
  </si>
  <si>
    <t>Инфляция (ИПЦ), накопленным итогом</t>
  </si>
  <si>
    <t>Индекс цен на рынке жилья</t>
  </si>
  <si>
    <t>Индекс</t>
  </si>
  <si>
    <t xml:space="preserve">Средняя цена жилья в многоквартирных домах в районе проекта на первичном рынке </t>
  </si>
  <si>
    <t>машино-мест</t>
  </si>
  <si>
    <t>Затраты на снос</t>
  </si>
  <si>
    <t>Доходы</t>
  </si>
  <si>
    <t>Структура финансирования</t>
  </si>
  <si>
    <t>Потребность в финансировании</t>
  </si>
  <si>
    <t>Средства от продажи коммерческих помещений</t>
  </si>
  <si>
    <t>Финансирование за счет собственных средств застройщика</t>
  </si>
  <si>
    <t>НДС входящий</t>
  </si>
  <si>
    <t>НДС исходящий</t>
  </si>
  <si>
    <t>Средства от продажи парковочных мест</t>
  </si>
  <si>
    <t>Чистый НДС</t>
  </si>
  <si>
    <t>НДС на начало периода</t>
  </si>
  <si>
    <t>НДС на конец периода</t>
  </si>
  <si>
    <t>НДС к уплате в бюджет</t>
  </si>
  <si>
    <t>Денежный поток после вычета НДС</t>
  </si>
  <si>
    <t xml:space="preserve">Налог на прибыль </t>
  </si>
  <si>
    <t>Чистый денежный поток (за вычетом налога на прибыль)</t>
  </si>
  <si>
    <t xml:space="preserve">Накопленный дисконтированный чистый денежный поток </t>
  </si>
  <si>
    <t>Чистая приведенная стоимость проекта (NPV)</t>
  </si>
  <si>
    <t>Средняя цена парковочного места</t>
  </si>
  <si>
    <t>Новая жилая застройка</t>
  </si>
  <si>
    <t>Сносимая застройка</t>
  </si>
  <si>
    <t>Количество жилых единиц всего, в том числе:</t>
  </si>
  <si>
    <t xml:space="preserve">Средняя цена жилья в многоквартирных домах в районе проекта на вторичном рынке </t>
  </si>
  <si>
    <t xml:space="preserve">Cовокупная стоимость публичной инфраструктуры </t>
  </si>
  <si>
    <t>Налог на имущество организаций (нежилые помещения и нежилые здания)</t>
  </si>
  <si>
    <t>Доходы бюджета города от земельного налога</t>
  </si>
  <si>
    <t>Численность резидентов территории</t>
  </si>
  <si>
    <t>руб. в мес.</t>
  </si>
  <si>
    <t>Совокупный спрос населения - резидентов территории на товары и услуги в районе проживания</t>
  </si>
  <si>
    <t xml:space="preserve">Среднедушевые денежные доходы </t>
  </si>
  <si>
    <t xml:space="preserve">Совокупные доходы резидентов территории </t>
  </si>
  <si>
    <t>тыс. руб./кв.м</t>
  </si>
  <si>
    <t>1 комната</t>
  </si>
  <si>
    <t>2 комнаты</t>
  </si>
  <si>
    <t>3 комнаты</t>
  </si>
  <si>
    <t>4 комнаты</t>
  </si>
  <si>
    <t>студия</t>
  </si>
  <si>
    <t>-</t>
  </si>
  <si>
    <t>Парковки подземные</t>
  </si>
  <si>
    <t>Парковки наземные</t>
  </si>
  <si>
    <t>Средние затраты на строительство одного машино-места (подземный паркинг)</t>
  </si>
  <si>
    <t xml:space="preserve">Иные расходы </t>
  </si>
  <si>
    <t>Индекс прибыльности (PI) для инвестора (на вложенные средства), с учетом дисконтирования</t>
  </si>
  <si>
    <t>Новые подземные парковки</t>
  </si>
  <si>
    <t>Базовое значение</t>
  </si>
  <si>
    <t>Экспертная оценка</t>
  </si>
  <si>
    <t>Стоимость зданий, инфраструктуры, благоустройства</t>
  </si>
  <si>
    <t>Дисконтированный срок окупаемости инвестиций (DPB)</t>
  </si>
  <si>
    <t>Налоги (НДС, налог на прибыль)</t>
  </si>
  <si>
    <t xml:space="preserve">Год начала реализации проекта </t>
  </si>
  <si>
    <t xml:space="preserve">Срок реализации проекта </t>
  </si>
  <si>
    <t xml:space="preserve">Параметр </t>
  </si>
  <si>
    <t xml:space="preserve">Комментарий к заполнению </t>
  </si>
  <si>
    <t>Ед. измерения</t>
  </si>
  <si>
    <t>год</t>
  </si>
  <si>
    <t xml:space="preserve">лет </t>
  </si>
  <si>
    <t>Значение параметра [ЗАПОЛНИТЬ]</t>
  </si>
  <si>
    <t>Значение параметра [ПРИМЕР]</t>
  </si>
  <si>
    <t xml:space="preserve">Параметры территории развития </t>
  </si>
  <si>
    <t>Баланс территории развития (по площади земельных участков)</t>
  </si>
  <si>
    <t xml:space="preserve">Совокупная кадастровая стоимость земельных участков в границах территории </t>
  </si>
  <si>
    <r>
      <t xml:space="preserve">Численность населения </t>
    </r>
    <r>
      <rPr>
        <b/>
        <i/>
        <sz val="12"/>
        <rFont val="Arial"/>
        <family val="2"/>
      </rPr>
      <t>в сохраняемой жилой застройке</t>
    </r>
  </si>
  <si>
    <r>
      <t xml:space="preserve">Численность населения </t>
    </r>
    <r>
      <rPr>
        <b/>
        <i/>
        <sz val="12"/>
        <color theme="0"/>
        <rFont val="Arial"/>
        <family val="2"/>
      </rPr>
      <t>в существующей жилой застройке</t>
    </r>
    <r>
      <rPr>
        <sz val="12"/>
        <color theme="0"/>
        <rFont val="Arial"/>
        <family val="2"/>
      </rPr>
      <t xml:space="preserve"> </t>
    </r>
  </si>
  <si>
    <t>иные многоквартирные дома</t>
  </si>
  <si>
    <r>
      <t xml:space="preserve">Общая площадь жилых помещений </t>
    </r>
    <r>
      <rPr>
        <b/>
        <i/>
        <sz val="12"/>
        <rFont val="Arial"/>
        <family val="2"/>
      </rPr>
      <t>в подлежащей сносу жилой застройке</t>
    </r>
    <r>
      <rPr>
        <sz val="12"/>
        <rFont val="Arial"/>
        <family val="2"/>
      </rPr>
      <t>, в том числе:</t>
    </r>
  </si>
  <si>
    <r>
      <t xml:space="preserve">Общая площадь жилых помещений </t>
    </r>
    <r>
      <rPr>
        <b/>
        <i/>
        <sz val="12"/>
        <rFont val="Arial"/>
        <family val="2"/>
      </rPr>
      <t>в существующей застройке, включая:</t>
    </r>
    <r>
      <rPr>
        <sz val="12"/>
        <rFont val="Arial"/>
        <family val="2"/>
      </rPr>
      <t xml:space="preserve"> </t>
    </r>
  </si>
  <si>
    <r>
      <t xml:space="preserve">Общая площадь жилых помещений </t>
    </r>
    <r>
      <rPr>
        <b/>
        <i/>
        <sz val="12"/>
        <rFont val="Arial"/>
        <family val="2"/>
      </rPr>
      <t>в сохраняемой жилой застройке</t>
    </r>
    <r>
      <rPr>
        <sz val="12"/>
        <rFont val="Arial"/>
        <family val="2"/>
      </rPr>
      <t>, в том числе:</t>
    </r>
  </si>
  <si>
    <r>
      <t xml:space="preserve">Общая площадь нежилых помещений </t>
    </r>
    <r>
      <rPr>
        <b/>
        <i/>
        <sz val="12"/>
        <rFont val="Arial"/>
        <family val="2"/>
      </rPr>
      <t>в подлежащей сносу нежилой  (коммерческой) застройке</t>
    </r>
    <r>
      <rPr>
        <sz val="12"/>
        <rFont val="Arial"/>
        <family val="2"/>
      </rPr>
      <t xml:space="preserve"> (отдельно стоящие нежилые здания)</t>
    </r>
  </si>
  <si>
    <r>
      <t xml:space="preserve">Общая площадь нежилых помещений </t>
    </r>
    <r>
      <rPr>
        <b/>
        <i/>
        <sz val="12"/>
        <rFont val="Arial"/>
        <family val="2"/>
      </rPr>
      <t>в сохраняемой нежилой (коммерческой) застройке</t>
    </r>
    <r>
      <rPr>
        <sz val="12"/>
        <rFont val="Arial"/>
        <family val="2"/>
      </rPr>
      <t xml:space="preserve"> (отдельно стоящие нежилые здания)</t>
    </r>
  </si>
  <si>
    <t>Общая площадь объектов социальной инфраструктуры, в том числе:</t>
  </si>
  <si>
    <t>школы</t>
  </si>
  <si>
    <t>детские сады</t>
  </si>
  <si>
    <t>поликлиники</t>
  </si>
  <si>
    <t>парковочные места в наземных многоуровневых паркингах</t>
  </si>
  <si>
    <t>парковочные места на открытых автостоянках</t>
  </si>
  <si>
    <t>парковочные места в подземных паркингах</t>
  </si>
  <si>
    <r>
      <t xml:space="preserve">Численность населения </t>
    </r>
    <r>
      <rPr>
        <b/>
        <i/>
        <sz val="12"/>
        <rFont val="Arial"/>
        <family val="2"/>
      </rPr>
      <t>в подлежащей сносу жилой застройке, в том числе проживающих в:</t>
    </r>
  </si>
  <si>
    <t>Показатели кадастровой стоимости территории</t>
  </si>
  <si>
    <t>Совокупная кадастровая стоимость жилых помещений, в  том числе расположенных в типах домов:</t>
  </si>
  <si>
    <t>Совокупная кадастровая стоимость нежилых помещений на первых этажах многоквартирных домов, в том числе расположенных в типах домов:</t>
  </si>
  <si>
    <t xml:space="preserve">Совокупная кадастровая стоимость объектов социальной инфраструктуры </t>
  </si>
  <si>
    <t>площадь территорий общего пользования, включая улично-дорожную сеть, скверы, парки и т.п.</t>
  </si>
  <si>
    <t xml:space="preserve">площадь жилой застройки </t>
  </si>
  <si>
    <t xml:space="preserve">площадь нежилой (коммерческой) застройки </t>
  </si>
  <si>
    <t>площадь территории, занятой объектами социальной инфраструктуры (школы, детские сады, поликлиники, больницы, иные)</t>
  </si>
  <si>
    <t xml:space="preserve">Параметры затрат проекта </t>
  </si>
  <si>
    <t xml:space="preserve">Параметры рынка недвижимости </t>
  </si>
  <si>
    <t>Макроэкономические параметры</t>
  </si>
  <si>
    <t>Среднедушевые денежные доходы</t>
  </si>
  <si>
    <t>Параметры для расчета налогов</t>
  </si>
  <si>
    <t>Ставка налога на прибыль</t>
  </si>
  <si>
    <t>Ставка налога на имущество организаций</t>
  </si>
  <si>
    <t>Ставка налога на имущество физических лиц</t>
  </si>
  <si>
    <t>тыс. руб. в месяц</t>
  </si>
  <si>
    <t>Росстат</t>
  </si>
  <si>
    <t>тыс. руб. за машино-место</t>
  </si>
  <si>
    <t>млн руб./машино-место</t>
  </si>
  <si>
    <t>Ставка земельного налога</t>
  </si>
  <si>
    <t>Совокупная кадастровая стоимость нежилых помещений в отдельно стоящих нежилых коммерческих зданиях</t>
  </si>
  <si>
    <t>Средняя цена парковочного места (площадью 30 кв. м)</t>
  </si>
  <si>
    <t xml:space="preserve">Площадь территории развития </t>
  </si>
  <si>
    <t xml:space="preserve">га </t>
  </si>
  <si>
    <t xml:space="preserve">I. Базовые параметры проекта </t>
  </si>
  <si>
    <t>1</t>
  </si>
  <si>
    <t>1.1</t>
  </si>
  <si>
    <t>Жилая застройка</t>
  </si>
  <si>
    <t>1.2</t>
  </si>
  <si>
    <t>1.3</t>
  </si>
  <si>
    <t>Озелененная территория общего пользования</t>
  </si>
  <si>
    <t>1.4</t>
  </si>
  <si>
    <t>Отдельно стоящие коммерческие объекты</t>
  </si>
  <si>
    <t>1.5</t>
  </si>
  <si>
    <t xml:space="preserve">Социальная инфраструктура </t>
  </si>
  <si>
    <t>Поликлиники</t>
  </si>
  <si>
    <t>2</t>
  </si>
  <si>
    <t>Контрольная строка (сумма)</t>
  </si>
  <si>
    <t xml:space="preserve">Процент застроенности (коэффициент застройки) земельного участка, предназначенного для строительства многоквартирного дома  </t>
  </si>
  <si>
    <t>Коэффициент плотности застройки для жилой многоэтажной застройки</t>
  </si>
  <si>
    <t>Максимальная этажность жилой застройки, количество этажей</t>
  </si>
  <si>
    <t>Регламентируется в ПЗЗ. В процессе моделирования это переменный параметр, который может снижаться для достижения необходимого баланса территории</t>
  </si>
  <si>
    <t>Регламентируется в ПЗЗ. В данном случае приведен экспертный пример</t>
  </si>
  <si>
    <t>ЗУ поликлиники: га на 100 посещений в смену</t>
  </si>
  <si>
    <t>Площадь встроенно-пристроенного ДДУ на 1 учащегося</t>
  </si>
  <si>
    <t>Учащихся ДДУ на 1000 населения</t>
  </si>
  <si>
    <t>Норма по наземным отдельно-стоящим парковкам</t>
  </si>
  <si>
    <t>Норма по плоскостным парковкам</t>
  </si>
  <si>
    <t>Необходимое количество мест в ДДУ</t>
  </si>
  <si>
    <t>Доля мест в ДДУ, обеспеченная за счет прилегающей территории</t>
  </si>
  <si>
    <t>Необходимое количество мест в СОШ</t>
  </si>
  <si>
    <t>Доля мест в СОШ, обеспеченная на  рассматриваемой территории</t>
  </si>
  <si>
    <t>Доля мест в СОШ, обеспеченная за счет прилегающей территории</t>
  </si>
  <si>
    <t>Доля мест в поликлиниках, обеспеченная на  рассматриваемой территории</t>
  </si>
  <si>
    <t>Доля мест в поликлиниках, обеспеченная за счет прилегающей территории</t>
  </si>
  <si>
    <t>2.1</t>
  </si>
  <si>
    <t>Площадь жилых помещений</t>
  </si>
  <si>
    <t>2.2</t>
  </si>
  <si>
    <t>2.3</t>
  </si>
  <si>
    <t>2.4</t>
  </si>
  <si>
    <t>2.5</t>
  </si>
  <si>
    <t>2.6</t>
  </si>
  <si>
    <t>2.7</t>
  </si>
  <si>
    <t>Коэффициент плотности застройки по предлагаемым параметрам (БРУТТО)</t>
  </si>
  <si>
    <t>Количество этажей подземного паркинга</t>
  </si>
  <si>
    <t xml:space="preserve">  </t>
  </si>
  <si>
    <t>Содержание (переход на нужный лист осущесвляется по гиперссылке)</t>
  </si>
  <si>
    <t>№</t>
  </si>
  <si>
    <t>Название листа</t>
  </si>
  <si>
    <t>Описание</t>
  </si>
  <si>
    <t>Состав жилых помещений в существующей многоквартирной застройке</t>
  </si>
  <si>
    <r>
      <t xml:space="preserve">Общая площадь жилых и нежилых помещений </t>
    </r>
    <r>
      <rPr>
        <b/>
        <i/>
        <sz val="12"/>
        <rFont val="Arial"/>
        <family val="2"/>
      </rPr>
      <t>в существующей застройке всего</t>
    </r>
    <r>
      <rPr>
        <sz val="12"/>
        <rFont val="Arial"/>
        <family val="2"/>
      </rPr>
      <t xml:space="preserve"> </t>
    </r>
  </si>
  <si>
    <t xml:space="preserve">Ед. измерения </t>
  </si>
  <si>
    <t xml:space="preserve">Подземная парковка </t>
  </si>
  <si>
    <t xml:space="preserve">тыс. руб./кв. м </t>
  </si>
  <si>
    <t>Средние затраты на создание внутриквартальной коммунальной инфраструктуры</t>
  </si>
  <si>
    <t>Средние затраты на создание внешней (магистральной) коммунальной инфраструктуры</t>
  </si>
  <si>
    <t>1.6</t>
  </si>
  <si>
    <t>1.6.1</t>
  </si>
  <si>
    <t>1.6.2</t>
  </si>
  <si>
    <t>1.6.3</t>
  </si>
  <si>
    <t>этажей</t>
  </si>
  <si>
    <t>Максимальная этажность отдельно стоящих коммерческих объектов</t>
  </si>
  <si>
    <t>количество этажей</t>
  </si>
  <si>
    <t>Обеспеченность площадью жилых помещений на человека</t>
  </si>
  <si>
    <t xml:space="preserve">кв. м </t>
  </si>
  <si>
    <t>Площадь озелененных территорий общего пользования на человека</t>
  </si>
  <si>
    <t>Площадь ЗУ на 1 учащегося СОШ</t>
  </si>
  <si>
    <t>Площадь здания СОШ на 1 учащегося</t>
  </si>
  <si>
    <t>Учащихся СОШ на 1000 населения</t>
  </si>
  <si>
    <t>кв.м</t>
  </si>
  <si>
    <t>Детские дошкольные учреждения (ДДУ)</t>
  </si>
  <si>
    <t>Площадь подземного паркинга на 1 машино-место</t>
  </si>
  <si>
    <t>человек</t>
  </si>
  <si>
    <t>Количество парковочных мест в подземном паркинге для площади жилых помещений</t>
  </si>
  <si>
    <t>количество посещений в сутки</t>
  </si>
  <si>
    <t>кв. м</t>
  </si>
  <si>
    <t>Площадь коммерческих первых этажей в жилой застройке</t>
  </si>
  <si>
    <t>Площадь инженерных объектов</t>
  </si>
  <si>
    <t>Площадь отдельно стоящих коммерческих объектов</t>
  </si>
  <si>
    <t>чел./ га</t>
  </si>
  <si>
    <t>Плотность населения</t>
  </si>
  <si>
    <t>Данная норма регламентируется ПЗЗ, при отсутствии в ПЗЗ можно использовать СП 42.13330.2016. Свод правил. Градостроительство. Планировка и застройка городских и сельских поселений. Актуализированная редакция СНиП 2.07.01-89*, утвержденный приказом Министерства строительства и жилищно-коммунального хозяйства Российской Федерации от 30 декабря 2016 года № 1034/пр (далее - СП Градостроительство). В данном примере показатель дан по СП Градостроительство</t>
  </si>
  <si>
    <t xml:space="preserve">Площадь подземного паркинга </t>
  </si>
  <si>
    <t>Количество парковочных мест в подземном паркинге для площади комерческих помещений</t>
  </si>
  <si>
    <t>Количество парковочных мест в подземном паркинге всего</t>
  </si>
  <si>
    <t xml:space="preserve">Данная норма регламентируется правилами землепользования и застройки (далее - ПЗЗ), при отсутствии в ПЗЗ можно использовать СП Градостроительство. В данном примере показатель дан по СП Градостроительство. </t>
  </si>
  <si>
    <t>Устанавливается в генеральном плане (далее - ГП) либо по заданию на проектирование. В данном случае приведен экспертный пример</t>
  </si>
  <si>
    <t>Регламентируется местными нормативами градостроительного проектирования (далее - МНГП). Здесь дана норма экспертно и значительно снижена по сравнению с СП Градостроительство (6 кв. м на 1 человека). Также важно учитывать, что на 10 га в качестве территории общего пользования также может использоваться земельный учаток школы и поликлиники</t>
  </si>
  <si>
    <t>Суммарная поэтажная площадь жилой застройки (вместе с коммерческими первыми этажами)</t>
  </si>
  <si>
    <t>1.7</t>
  </si>
  <si>
    <t>3</t>
  </si>
  <si>
    <t>4</t>
  </si>
  <si>
    <t>5</t>
  </si>
  <si>
    <t>3.1</t>
  </si>
  <si>
    <t>3.2</t>
  </si>
  <si>
    <t>4.2</t>
  </si>
  <si>
    <t>4.3</t>
  </si>
  <si>
    <t>4.4</t>
  </si>
  <si>
    <t>5.1</t>
  </si>
  <si>
    <t>5.3</t>
  </si>
  <si>
    <t>5.4</t>
  </si>
  <si>
    <t>4.5</t>
  </si>
  <si>
    <t>4.6</t>
  </si>
  <si>
    <t>4.7</t>
  </si>
  <si>
    <t>4.8</t>
  </si>
  <si>
    <t>6</t>
  </si>
  <si>
    <t>Плотность застройки (НЕТТО)</t>
  </si>
  <si>
    <t>руб./кв. м</t>
  </si>
  <si>
    <t>Ставка налога на доходы в соответствии с упрощенной системой налогообложения</t>
  </si>
  <si>
    <t>% от доходов</t>
  </si>
  <si>
    <t xml:space="preserve">% от кадастровой стоимости объекта недвижимости </t>
  </si>
  <si>
    <t xml:space="preserve">% от кадастровой стоимости земельного участка </t>
  </si>
  <si>
    <t>% от прибыли</t>
  </si>
  <si>
    <t>% от стомости налогооблагаемых операций</t>
  </si>
  <si>
    <t xml:space="preserve">Индекс цен на строительную продукцию и стоимость строительных работ </t>
  </si>
  <si>
    <t xml:space="preserve">Снос объектов и консолидация территории </t>
  </si>
  <si>
    <t>Отдельно стоящие нежилые здания коммерческого использования</t>
  </si>
  <si>
    <t>тыс. кв. м жилых помещений</t>
  </si>
  <si>
    <t>тыс. кв. м нежилых помещений</t>
  </si>
  <si>
    <t xml:space="preserve">Средние затраты на строительство отдельно стоящих коммерческих объектов </t>
  </si>
  <si>
    <t xml:space="preserve">Отдельно стоящие нежилые здания коммерческого использования (накопленным итогом) </t>
  </si>
  <si>
    <t>Период между завершением сноса и началом строительства (разработка и утверждение документации по планировке территории)</t>
  </si>
  <si>
    <t xml:space="preserve">Жилые помещения в многоквартирных домах </t>
  </si>
  <si>
    <t xml:space="preserve">Расчет </t>
  </si>
  <si>
    <t xml:space="preserve">Срок строительства (от получения разрешения на строительство до получения разрешения на ввод в эксплуатацию) </t>
  </si>
  <si>
    <t>Школы</t>
  </si>
  <si>
    <t>Детские сады</t>
  </si>
  <si>
    <t xml:space="preserve">Поликлиники </t>
  </si>
  <si>
    <t>Общая численность населения территории</t>
  </si>
  <si>
    <t>Жилые помещения в многоквартирных домах (накопленный итог)</t>
  </si>
  <si>
    <t xml:space="preserve">Отдельно стоящие нежилые здания коммерческого использования (накопленный итог) </t>
  </si>
  <si>
    <t>Количество очередей строительства многоквартирных домов (1 очередь = 1 МКД, в зависимости от проекта площадь 1 МКД может быть различной, в примере используется площадь 12,2 тыс. кв. м)</t>
  </si>
  <si>
    <t>количество очередей</t>
  </si>
  <si>
    <t xml:space="preserve">              приобретенных на рынке </t>
  </si>
  <si>
    <t>На уровне инфляции (стабильные реальные цены)</t>
  </si>
  <si>
    <t xml:space="preserve">Индекс цен на рынке коммерческих помещений </t>
  </si>
  <si>
    <t xml:space="preserve">Рынок недвижимости </t>
  </si>
  <si>
    <t>Средняя цена земли в границах территории</t>
  </si>
  <si>
    <t>млн руб./га</t>
  </si>
  <si>
    <t xml:space="preserve">Макроэкономические параметры </t>
  </si>
  <si>
    <t>Средние затраты на строительство коммерческой недвижимости торгового назначения (строительно-монтажные работы)</t>
  </si>
  <si>
    <t xml:space="preserve">% от нормативной стоимости расселяемого аварийного жилищного фонда </t>
  </si>
  <si>
    <t xml:space="preserve">Нормативная стоимость переселения из аварийных МКД </t>
  </si>
  <si>
    <t xml:space="preserve">Средняя рыночная стоимость жилья в аварийном МКД </t>
  </si>
  <si>
    <t>Сумма</t>
  </si>
  <si>
    <t>СМР (нежилые помещения на первых этажах МКД)</t>
  </si>
  <si>
    <t>Суммарные прямые расходы застройщика на переселение граждан из индивидуального жилищного фонда</t>
  </si>
  <si>
    <t>СМР (нежилые помещения в отдельно стоящих коммерческих зданиях)</t>
  </si>
  <si>
    <t>Cредства от продажи жилья по ДКП или ДДУ</t>
  </si>
  <si>
    <t xml:space="preserve">% от инвестиционных и операционных расходов </t>
  </si>
  <si>
    <t xml:space="preserve">% годовых </t>
  </si>
  <si>
    <t xml:space="preserve">Параметры финансирования проекта </t>
  </si>
  <si>
    <t xml:space="preserve">Исходные данные </t>
  </si>
  <si>
    <t xml:space="preserve">Экономическая модель проекта </t>
  </si>
  <si>
    <t>Основные параметры моделирования</t>
  </si>
  <si>
    <t>Объемно-планировочные параметры модельного проекта (пример)</t>
  </si>
  <si>
    <t>Общая численность населения зависит от площади жилых помещений. Вычисляется как площадь жилых помещений разделить на норму по обеспеченности площадью жилых помещений на человека</t>
  </si>
  <si>
    <t>Зависит от общей численности населения. Вычисляется как общая численность населения умножить на норму по количеству учащихся в ДДУ и разделить на 1000</t>
  </si>
  <si>
    <t>Зависит от общей численности населения. Вычисляется как общая численность населения умножить на норму по количеству учащихся в СОШ и разделить на 1000</t>
  </si>
  <si>
    <t>№ п.п.</t>
  </si>
  <si>
    <t>Малая территория (2,5-5 га)</t>
  </si>
  <si>
    <t>Средняя территория (5-10 га)</t>
  </si>
  <si>
    <t>Большая территория (более 10 га)</t>
  </si>
  <si>
    <t>Показатель</t>
  </si>
  <si>
    <t>Примерный баланс территории (по общей площади земельных участков):</t>
  </si>
  <si>
    <t>Улично-дорожная сеть (далее-УДС), включая наземные парковочные места в составе УДС</t>
  </si>
  <si>
    <t>2.6.1</t>
  </si>
  <si>
    <t>2.6.2</t>
  </si>
  <si>
    <t>2.6.3</t>
  </si>
  <si>
    <t>Средние общеобразовательные школы (СОШ)</t>
  </si>
  <si>
    <t>Улично-дорожная сеть (УДС), включая наземные парковочные места в составе УДС</t>
  </si>
  <si>
    <t>Экспертная оценка на основе аналогов застройки с учетом ограничений нормативов градостроительного проектирования в части обеспеченности территории объектами инфраструктуры в зависимости от площади территории и предельной этажности, установленной правилами землепользования и застройки. Все такие параметры определяются на местном и (или) региональном уровне.  В данном примере используются средние значения. См. Методику. На  больших территориях создание отдельно стоящей СОШ, как правило, обязательно. На других территориях, при наличии свободных мест в СОШ за границам территории, такие объекты могут не предусматриваться.  Отметим, что различные по размеру СОШ имеют различные нормы по размеру земельных участков. При проработке эскиза застройки площадь земельных участков ДДУ может быть скорректирована.</t>
  </si>
  <si>
    <t>Экспертная оценка на основе аналогов застройки с учетом ограничений нормативов градостроительного проектирования в части обеспеченности территории объектами инфраструктуры в зависимости от площади территории и предельной этажности, установленной правилами землепользования и застройки. Все такие параметры определяются на местном и (или) региональном уровне.  В данном примере используются средние значения. См. Методику.</t>
  </si>
  <si>
    <t>Экспертная оценка на основе аналогов застройки с учетом ограничений нормативов градостроительного проектирования в части обеспеченности территории объектами инфраструктуры в зависимости от площади территории и предельной этажности, установленной правилами землепользования и застройки. Все такие параметры определяются на местном и (или) региональном уровне.  В данном примере используются средние значения. См. Методику.На малых и средних территориях - это могут быть втроенно-пристроенные ДДУ, на больших территориях - это отдельно стоящие детские сады. Отметим, что различные по размеру ДДУ имеют различные нормы по размеру земельных участков. При проработке эскиза застройки площадь земельных участков ДДУ может быть скорректирована.</t>
  </si>
  <si>
    <t>% от площади земельного участка</t>
  </si>
  <si>
    <t xml:space="preserve">кв. м суммарной поэтажной площади здания на 1 кв. м земельного участка </t>
  </si>
  <si>
    <t>Доля площади жилых и нежилых помещений первых этажей (кроме нежилых помещений в составе общегоимущества) в суммарной поэтажной площади многоквартирных домов</t>
  </si>
  <si>
    <t>количество учащихся</t>
  </si>
  <si>
    <t>посещений в смену на 1000 жителей</t>
  </si>
  <si>
    <t>Площадь жилых помещений на 1 машино-место в подземной парковке</t>
  </si>
  <si>
    <t>Площадь коммерческих помещений на 1 машино-место</t>
  </si>
  <si>
    <t>Доля площади нежилых помещений первых этажей от общей площади жилых и нежилых помещений первых этажей в многоквартирных домах</t>
  </si>
  <si>
    <t xml:space="preserve">% от нормативной потребности </t>
  </si>
  <si>
    <t>Размер поликлиники, созадваемой на территории развития</t>
  </si>
  <si>
    <t>Примерный баланс застройки (по площади жилых и нежилых помещений)</t>
  </si>
  <si>
    <t xml:space="preserve">Суммарная площадь жилых помещений и нежилых помещений первых этажей в жилой застройке </t>
  </si>
  <si>
    <t xml:space="preserve">кв. м суммарной поэтажной площади </t>
  </si>
  <si>
    <t xml:space="preserve">кв. м жилых и нежилых помещений </t>
  </si>
  <si>
    <t>3.2.1</t>
  </si>
  <si>
    <t>3.2.2</t>
  </si>
  <si>
    <t>3.2.3</t>
  </si>
  <si>
    <t>3.2.4</t>
  </si>
  <si>
    <t>Площадь наземного отдельно стоящего паркинга</t>
  </si>
  <si>
    <t>3.2.5</t>
  </si>
  <si>
    <t>3.2.6</t>
  </si>
  <si>
    <t xml:space="preserve">    площадь поликлиники</t>
  </si>
  <si>
    <t xml:space="preserve">    площадь детского сада</t>
  </si>
  <si>
    <t xml:space="preserve">    площадь школы</t>
  </si>
  <si>
    <t>Площадь объектов социальной инфраструктуры, в том числе:</t>
  </si>
  <si>
    <t>3.2.7</t>
  </si>
  <si>
    <t>3.2.7.1</t>
  </si>
  <si>
    <t>3.2.7.2</t>
  </si>
  <si>
    <t>3.2.7.3</t>
  </si>
  <si>
    <t>Расчет соотношения между суммарной поэтажной площадью зданий и суммарной площадью земельных участков. Максимальные значения параметра зависят от параматеров градостроительного регламента, установленного ПЗЗ. Рекомендуемые максимальные значения составляют для центра города - 3, для срединной зоны - 2, для периферии - 1.</t>
  </si>
  <si>
    <t>Расчет соотношения между суммарной поэтажной площадью зданий и суммарной площадью земельных участков за вычетом улично-дорожной сети. Максимальные значения параметра зависят от параматеров градостроительного регламента, установленного ПЗЗ. Рекомендуемые максимальные значения составляют для центра города - 4, для срединной зоны - 2, для периферии - 1.</t>
  </si>
  <si>
    <t>4.1</t>
  </si>
  <si>
    <t>4.8.1</t>
  </si>
  <si>
    <t>4.8.2</t>
  </si>
  <si>
    <t>4.9</t>
  </si>
  <si>
    <t>4.10</t>
  </si>
  <si>
    <t>4.11</t>
  </si>
  <si>
    <t>7</t>
  </si>
  <si>
    <t>8</t>
  </si>
  <si>
    <t>9</t>
  </si>
  <si>
    <t>10</t>
  </si>
  <si>
    <t>11</t>
  </si>
  <si>
    <t>12</t>
  </si>
  <si>
    <t>13</t>
  </si>
  <si>
    <t>14</t>
  </si>
  <si>
    <t>15</t>
  </si>
  <si>
    <t>16</t>
  </si>
  <si>
    <t>17</t>
  </si>
  <si>
    <t>18</t>
  </si>
  <si>
    <t>19</t>
  </si>
  <si>
    <t>20</t>
  </si>
  <si>
    <t>21</t>
  </si>
  <si>
    <t>22</t>
  </si>
  <si>
    <t>Расчет итоговых характеристик застройки (используется для контроля сбалансированности планировочного решения)</t>
  </si>
  <si>
    <t>Расчет промежуточных показателей (используется для расчета баланса территории и баланса застройки)</t>
  </si>
  <si>
    <t>Вычисляется как произведение п. 3.2 и п. 21 Таблицы 2.</t>
  </si>
  <si>
    <t>Таблица 2. Данные из норм, правил и аналогов застройки, используемые в расчете</t>
  </si>
  <si>
    <t xml:space="preserve">Таблица 1. Параметры планировки новой застройки, используемые в экономической модели </t>
  </si>
  <si>
    <t>Вычисляется как площадь пятна жилой застройки, умноженная на этажность застройки. Чтобы определнить пятно застройки умножаем площадь территории под жилую застройку на процент застроенности (коэффициент застройки) земельного участка, предназначенного для строительства многоквартирных домов.</t>
  </si>
  <si>
    <t>Вычисляется как произведение поэтажной площади жилой застройки на показатель доли полезной площади жилой застройки за вычетом площади коммерческих помещений на первых этажах многоквартирных домов..</t>
  </si>
  <si>
    <t>Вычисляется как произведение количества необходимых парковочных мест и площади подземного паркинга на 1 машино-место.</t>
  </si>
  <si>
    <t>Вычисляется как произведение количества необходимых парковочных мест и площади наземного паркинга на 1 машино-место.</t>
  </si>
  <si>
    <t>Вычисляется как произведение количества учащихся и показателя площади ДДУ на одного учащегося. Площади детских садов считались генерализировано - не разбивались на отдельное ДДУ. На территориях 2,5 и 5 га - это втроенно-пристроенные ДДУ. На территории 10 га - это отдельностоящие детские сады.</t>
  </si>
  <si>
    <t>Площадь ЗУ на 1 учащегося ДДУ (встроенно-пристроенные ДДУ)</t>
  </si>
  <si>
    <t>Площадь ЗУ на 1 учащегося ДДУ (отдельно стоящие  ДДУ)</t>
  </si>
  <si>
    <t>23</t>
  </si>
  <si>
    <t>Зависит от общей численности населения. Вычисляется как общая численность населения, умноженная на норму по количеству посещений поликлиник и деленная на 1000.</t>
  </si>
  <si>
    <t>Сумма парковочных мест для жилых и коммерческих объектов.</t>
  </si>
  <si>
    <t>Зависит от площади жилых помещений. Вычисляется как площадь жилых помещений, деленная на норму площади жилых помещений на 1 машино-место.</t>
  </si>
  <si>
    <t xml:space="preserve">Может быть регламентировано в МНГП. Также можно задать, исходя из знания об окружающих объектах (возможностях обслуживания дополнительной потребности в места в существующих объектах). </t>
  </si>
  <si>
    <t>Вычисляется как произведение количества учащихся в численности населения и показателя площади ДДУ на одного учащегося.</t>
  </si>
  <si>
    <t>Вычисляется как произведение количества учащихся в численности населения и показателя площади СОШ на одного учащегося.</t>
  </si>
  <si>
    <t xml:space="preserve">Процентная ставка по проектному финансированию </t>
  </si>
  <si>
    <t>Средние затраты на строительство социальной инфраструктуры (отдельно стоящие объекты) - поликлиники</t>
  </si>
  <si>
    <t>Средние затраты на строительство социальной инфраструктуры (встроенно-пристроенные детские сады)</t>
  </si>
  <si>
    <t xml:space="preserve">Денежный поток до налогообложения </t>
  </si>
  <si>
    <t xml:space="preserve">Дисконтированный чистый денежный поток </t>
  </si>
  <si>
    <t xml:space="preserve">Маркер дисконтированного периода окупаемости </t>
  </si>
  <si>
    <t xml:space="preserve">Ставка дисконтирования </t>
  </si>
  <si>
    <t>% в год</t>
  </si>
  <si>
    <t xml:space="preserve">Средняя цена жилья в индивидуальных домах в границах проекта, подлежащих сносу, включая земельный участок </t>
  </si>
  <si>
    <t xml:space="preserve">Ввод жилых и нежилых объектов </t>
  </si>
  <si>
    <t>Подземная парковка (накопленный итог)</t>
  </si>
  <si>
    <t>Показатели эффективности проекта для экономики города</t>
  </si>
  <si>
    <t>Показатели эффективности проекта для Фонда ЖКХ</t>
  </si>
  <si>
    <t>Расходы Фонда ЖКХ в расчете на 1 кв. м расселяемого аварийного жилья</t>
  </si>
  <si>
    <t xml:space="preserve">Отношение расходов Фонда ЖКХ в расчете на 1 кв. м расселяемого аварийного жилья к нормативной стоимости 1 кв. м жилья </t>
  </si>
  <si>
    <t xml:space="preserve">тыс. чел. </t>
  </si>
  <si>
    <t xml:space="preserve">Расходы Фонда ЖКХ </t>
  </si>
  <si>
    <t xml:space="preserve">млн руб. </t>
  </si>
  <si>
    <t xml:space="preserve">тыс. руб. </t>
  </si>
  <si>
    <t>Налог на доходы малого бизнеса на территории (упрощенная система)</t>
  </si>
  <si>
    <t xml:space="preserve">Доходы бюджета города от налога на имущество физических лиц </t>
  </si>
  <si>
    <t>Регион и РФ (бюджетные доходы по налогу на прибыль и НДС)</t>
  </si>
  <si>
    <t>Расходы на предоставление жилья переселенцам (по эквиваленту рыночной цены)</t>
  </si>
  <si>
    <t>Суммарные прямые расходы застройщика на переселение и выкуп нежилых помещений</t>
  </si>
  <si>
    <t>Жители территории, переселяемые из сносимых домов, и собственники нежилых помещений (новое жилье+компенсации)</t>
  </si>
  <si>
    <t xml:space="preserve">Задается экспертно. Здесь вычисленно, как доля от площади земельного участка под инженерные объекты, исходя из допущения, что инженерные площадные объекты имеют 1 этаж. </t>
  </si>
  <si>
    <t>Вычисляется как произведение количества посещений за смену на площадь на одно посещение</t>
  </si>
  <si>
    <r>
      <t>Зависит от площ</t>
    </r>
    <r>
      <rPr>
        <sz val="10"/>
        <rFont val="Arial"/>
        <family val="2"/>
        <charset val="204"/>
      </rPr>
      <t>ади помещений в коммерческих объектах</t>
    </r>
    <r>
      <rPr>
        <sz val="10"/>
        <color theme="1"/>
        <rFont val="Arial"/>
        <family val="2"/>
      </rPr>
      <t>. Вычисляется как площадь нежилых помещений, деленная на норму площади жилых помещений на 1 машино-место.</t>
    </r>
  </si>
  <si>
    <t xml:space="preserve">Рекомендуемые максимальные значения составляют для центра города - 450-550 чел./га, для срединной зоны - 350-450 чел./га , для периферии - 200-350 чел./га </t>
  </si>
  <si>
    <t>Регламентируется МНГП. Если не содержится в МНГП нужно смотреть в региональных нормативах градостроительного проетирвоания (далее - РНГП). Если норма не содержится в РНГП нужно смотреть в СП Градостроительство. Необходимо отметить что для разного размера ДДУ разная норма, а также что для встроенно-пристроенных ДДУ предлается: взять норму по ЗУ для отдельно-стоящих ДДУ и вычесть из нее 15%. Именно 15% занимает пятно застройки отдельно стоящее ДДУ на ЗУ в стандартном проекте.</t>
  </si>
  <si>
    <t>Регламентируется МНГП. Если не содержится в МНГП нужно смотреть в региональных нормативах градостроительного проетирвоания (далее - РНГП). Если норма не содержится в РНГП нужно смотреть в СП Градостроительство. Необходимо отметить что для разного размера ДДУ разная норма. Также в условиях реконструкции возможно уменьшение размера ЗУ. В данном случае приведен экспертный пример</t>
  </si>
  <si>
    <t>Экспертная оценка на основе аналогов развития различных территорий и проектов соответствующих объектов</t>
  </si>
  <si>
    <r>
      <t>Площадь здания поликли</t>
    </r>
    <r>
      <rPr>
        <sz val="10"/>
        <rFont val="Arial"/>
        <family val="2"/>
        <charset val="204"/>
      </rPr>
      <t>ники на 1 посещение</t>
    </r>
  </si>
  <si>
    <t xml:space="preserve">Регламентируется МНГП. Если не содержится в МНГП нужно смотреть в РНГП. Если норма не содержится в РНГП нужно смотреть в СП Градостроительство. В данном случае приведены средние значения по 15 крупнейшим городам РФ. В отношении парковок: в данном примере принято, что все постоянные парковочные места обеспечиваются за счет подземных парковок </t>
  </si>
  <si>
    <t>машино место на 1 квартиру</t>
  </si>
  <si>
    <t>СП Градостроительство</t>
  </si>
  <si>
    <t xml:space="preserve">Доля расходов на инфраструктуру за счет бюджета </t>
  </si>
  <si>
    <t xml:space="preserve">% от инвестиционных расходов на социальную инфраструктуру </t>
  </si>
  <si>
    <t>% от инвестиционных расходов на транспортную инфраструктуру</t>
  </si>
  <si>
    <t xml:space="preserve">% от инвестиционных расходов на инженерную инфраструктуру </t>
  </si>
  <si>
    <t xml:space="preserve">Расходы бюджета на инфраструктуру </t>
  </si>
  <si>
    <t>% от общих инвестиционных и операционных расходов</t>
  </si>
  <si>
    <t xml:space="preserve">    встроенно-пристроенные</t>
  </si>
  <si>
    <t xml:space="preserve">    отдельно стоящие </t>
  </si>
  <si>
    <t>Доля мест в ДДУ, обеспеченная на  рассматриваемой территории, в том числе:</t>
  </si>
  <si>
    <t>Средние затраты на строительство социальной инфраструктуры (встроенно-пристроенные объекты)</t>
  </si>
  <si>
    <t>Индекс прибыльности (PI) проекта без учета дисконтирования</t>
  </si>
  <si>
    <t>Индекс прибыльности (PI) проекта с учетом дисконтирования</t>
  </si>
  <si>
    <t>млн руб. в год завершения проекта</t>
  </si>
  <si>
    <t>млн руб. в год завершения проекта в текущих ценах</t>
  </si>
  <si>
    <t xml:space="preserve">Капитализация территории (структура) - распределение выгод стейкхолдеров </t>
  </si>
  <si>
    <t>Общие параметры</t>
  </si>
  <si>
    <t xml:space="preserve">Темп инфляции </t>
  </si>
  <si>
    <t>Финансовые параметры</t>
  </si>
  <si>
    <t xml:space="preserve">Доля компенсируемых Фондом ЖКХ затрат на переселение </t>
  </si>
  <si>
    <t>Структура компенсаций переселяемым гражданам их аварийных МКД</t>
  </si>
  <si>
    <t>Коэффициент равнозначности помещения (при переселении из неаварийных МКД)</t>
  </si>
  <si>
    <t>Всего</t>
  </si>
  <si>
    <t xml:space="preserve">Доля бюджетных расходов на социальную инфраструктуру </t>
  </si>
  <si>
    <t xml:space="preserve">Доля бюджетных расходов на транспортную инфраструктуру </t>
  </si>
  <si>
    <t xml:space="preserve">Доля бюджетных расходов на инженерную инфраструктуру </t>
  </si>
  <si>
    <t xml:space="preserve">Темп роста реальных цен на жилье </t>
  </si>
  <si>
    <t xml:space="preserve">Темп роста реальных цен на жилье, накопленным итогом </t>
  </si>
  <si>
    <t>Капитализация территории (структура) всего</t>
  </si>
  <si>
    <t>Базовое значение 
(Экономическая модель проекта)</t>
  </si>
  <si>
    <t xml:space="preserve">Общие инвестиционные и операционные расходы по проекту, в том числе: </t>
  </si>
  <si>
    <t>собственные средства инвестора</t>
  </si>
  <si>
    <t>бюджетные средства (инфраструктура)</t>
  </si>
  <si>
    <t>средства Фонда ЖКХ (компенсация затрат на переселение)</t>
  </si>
  <si>
    <t xml:space="preserve">заемные средства и средства от продаж </t>
  </si>
  <si>
    <t>Моделируемое значение (ввести вручную)</t>
  </si>
  <si>
    <t xml:space="preserve">Экономическая модель, рассчитанная на основе модельного проекта </t>
  </si>
  <si>
    <t>Расчет показателей эффективности проекта при изменении основных параметров</t>
  </si>
  <si>
    <t>Параметры этажности застройки (возможно снижение этажности относительно заданного предельного значения в целях формирования комфортной городской среды при условии хороших показателей эффективности проект)</t>
  </si>
  <si>
    <t xml:space="preserve">Количество этажей </t>
  </si>
  <si>
    <t>Индекс прибыльности (PI) для инвестора (на вложенные средства), без учета дисконтирования</t>
  </si>
  <si>
    <t>Чистая максимальная прибыль от реализации проекта с учетом упущенной выгоды</t>
  </si>
  <si>
    <t>Темпы замещения старой жилой застройки новой жилой застройкой, тыс. кв. м</t>
  </si>
  <si>
    <t>Новая жилая застройка (МКД)</t>
  </si>
  <si>
    <t>Сносимая жилая застройка</t>
  </si>
  <si>
    <t>Функциональная структура застройки, тыс. кв. м</t>
  </si>
  <si>
    <t>До реализации проекта</t>
  </si>
  <si>
    <t>После реализации проекта</t>
  </si>
  <si>
    <t>Общая площадь жилых помещений, без коммерческих первых этажей</t>
  </si>
  <si>
    <t>Общая площадь коммерческих помещений</t>
  </si>
  <si>
    <t>Общая площадь социальных объектов</t>
  </si>
  <si>
    <t xml:space="preserve">Функциональная структура застройки, % </t>
  </si>
  <si>
    <t>Общий объем необходимых инвестиций, млн руб.</t>
  </si>
  <si>
    <t>Необходимый объем инвестиций и собственных средств застройщика, млн руб.</t>
  </si>
  <si>
    <t>Доходы от продажи жилья, нежилых помещений, парковочных мест</t>
  </si>
  <si>
    <t>Объем и структура доходов в рамках проекта, млн руб.</t>
  </si>
  <si>
    <t>Существующие и планируемые параметры застройки территории</t>
  </si>
  <si>
    <t>Расходы на компенсации собственникам недвижимости</t>
  </si>
  <si>
    <t>Показатели инвестиционной эффективности</t>
  </si>
  <si>
    <t>Анализ капитализации территории и распределения выгод от проекта между стейкхолдерами</t>
  </si>
  <si>
    <t>Показатели эффективности расходов бюджетов и Фонда ЖКХ на переселение граждан из аварийного жилищного фонда</t>
  </si>
  <si>
    <t>Градостроительная модель</t>
  </si>
  <si>
    <t>Суммарные прямые расходы застройщика на переселение граждан из МКД (учитываются расходы на приобретение жилья на рынке, а также на предоставление построенного в ином месте жилья, выплату компенсаций в денежной форме. Расходы на строительство жилья для передачи гражданам в собственность, а также в гос. или мун. собственность учитываются как недополученная выручка)</t>
  </si>
  <si>
    <t>II. Моделируемые параметры проекта</t>
  </si>
  <si>
    <t xml:space="preserve">I. Анализ чувствительности показателей эффективности проекта </t>
  </si>
  <si>
    <t xml:space="preserve">Расходы Фонда ЖКХ, регионального, местного бюджетов на копенсацию затрат застройщика на переселение и на выплату субсидий гражданам </t>
  </si>
  <si>
    <t xml:space="preserve">Расходы регионального, местного бюджетов, Фонда ЖКХ </t>
  </si>
  <si>
    <t>Расходы регионального, местного бюджетов, Фонда ЖКХ  в расчете на 1 кв. м расселяемого аварийного жилья</t>
  </si>
  <si>
    <t xml:space="preserve">Отношение расходов регионального, местного бюджетов, Фонда ЖКХ  в расчете на 1 кв. м расселяемого аварийного жилья к нормативной стоимости 1 кв. м жилья </t>
  </si>
  <si>
    <t>Средние затраты на строительство одного машино-места площадью 30 кв. м в подземном паркинге (строительно-монтажные работы)</t>
  </si>
  <si>
    <t>Баланс застройки территории развития (по площади объектов капитального строительства)</t>
  </si>
  <si>
    <t xml:space="preserve">индивидуальные дома, дома блокированной застройки </t>
  </si>
  <si>
    <t>Средние затраты на строительство (развитие, модернизацию) транспортной инфраструктуры</t>
  </si>
  <si>
    <t>Количество парковочных мест в подземном паркинге для площади коммерческих помещений</t>
  </si>
  <si>
    <t>Размер поликлиники, создаваемой на территории развития</t>
  </si>
  <si>
    <t>Доля площади жилых и нежилых помещений первых этажей (кроме нежилых помещений в составе общего имущества) в суммарной поэтажной площади многоквартирных домов</t>
  </si>
  <si>
    <t>Субсидия гражданам в размере разницы между выплаченным возмещением в соответствии со ст. 32 ЖК РФ и рыночной ценой жилья</t>
  </si>
  <si>
    <t xml:space="preserve">Субсидия застройщику за счет средств регионального, местного бюджетов </t>
  </si>
  <si>
    <t xml:space="preserve">Дисконтированные инвестиционные и операционные затраты </t>
  </si>
  <si>
    <t>Внутренняя норма доходности (IRR)</t>
  </si>
  <si>
    <t>Денежные потоки, млн руб.</t>
  </si>
  <si>
    <t>Эффективность проекта для государства, млн руб.</t>
  </si>
  <si>
    <t xml:space="preserve">Исходные данные о территории развития, экономических показателях </t>
  </si>
  <si>
    <t xml:space="preserve">Калькулятор чувствительности показателей эффективности проекта к параметрам реализации проекта </t>
  </si>
  <si>
    <t>Средние затраты на строительство (развитие, модернизации) транспортной инфраструктуры</t>
  </si>
  <si>
    <t>Граждане, переселяемые из ветхих МКД:</t>
  </si>
  <si>
    <t>Совокупные потребительские расходы резидентов территории в текущих ценах</t>
  </si>
  <si>
    <t>Объекты социальной инфраструктуры</t>
  </si>
  <si>
    <t xml:space="preserve">Средняя цена жилья в индивидуальных домах в районе проекта на вторичном рынке, включая земельный участок (при наличии такого предложения) </t>
  </si>
  <si>
    <t>Средняя рыночная стоимость жилья в ветхом МКД</t>
  </si>
  <si>
    <t>Средние затраты на разработку проектной документации</t>
  </si>
  <si>
    <t>ветхие многоквартирные дома</t>
  </si>
  <si>
    <t>многоквартирные дома</t>
  </si>
  <si>
    <t>аварийные многоквартирные дома</t>
  </si>
  <si>
    <t>Общая площадь  территории, всего, в том числе:</t>
  </si>
  <si>
    <t>Общая площадь территории, подлежащей развитию (за вычетом территории под сохраняемыми объектами)</t>
  </si>
  <si>
    <t>Переменная управления (при изменении значения модель пересчитывается автоматически)</t>
  </si>
  <si>
    <t xml:space="preserve">Нормативная стоимость 1 кв. м жилья, уст. Минстроем России </t>
  </si>
  <si>
    <t>Базовые параметры</t>
  </si>
  <si>
    <t xml:space="preserve">Коэффициент равнозначости жилого помещения </t>
  </si>
  <si>
    <t>Предоставление собственнику жилого помещения другого жилого помещения (в собственность переселяемого гражданина)</t>
  </si>
  <si>
    <t>Предоставление нанимателям жилых помещений другого жилого помещения по договору найма жилого помещения в жилищном фонде социального использования (договор некоммерческого найма)</t>
  </si>
  <si>
    <t xml:space="preserve">Предоставление нанимателям жилых помещений другого жилого помещения по договору социального найма </t>
  </si>
  <si>
    <t>Выплата собственникам жилых помещений возмещения за изымаемое жилое помещение в размере рыночной стоимости жилого помещения (ч. 7 ст. 32 ЖК РФ)</t>
  </si>
  <si>
    <t>Предоставление субсидии на приобретение, строительство жилого помещения, оплату процентов по ипотеке (если у гражданина отсутствует иное пригодное для проживания жилое помещение)</t>
  </si>
  <si>
    <t>Доля жилых помещений, предоставляемых собственникам жилых помещений в аварийных и ветхих МКД, приобретенных застройщиком на рынке</t>
  </si>
  <si>
    <t>% от общей площади жилых помещений, предоставляемых собственникам жилых помещений в аварийных и ветхих МКД</t>
  </si>
  <si>
    <t>Предоставление собственникам жилого помещения другого равнозначного жилого помещения (если предусмотрено предоставление равнозначного жилого помещения)</t>
  </si>
  <si>
    <t>Предоставление собственникам жилого помещения другого жилого помещения (по площади расселяемого жилого помещения), если не предусмотрено предоставление равнозначного жилого помещения</t>
  </si>
  <si>
    <t xml:space="preserve">Предоставление собственникам жилого помещения равноценного возмещения, определенного в соответствии с ч. 7 ст. 32 ЖК РФ </t>
  </si>
  <si>
    <t>Предоставление нанимателям жилого помещения другого жилого помещения по договору найма жилого помещения в жилищном фонде социального использования (договор некоммерческого найма)</t>
  </si>
  <si>
    <t xml:space="preserve">Предоставление нанимателям жилого помещения другого жилого помещения (по площади расселяемого жилого помещения) по договору социального найма или в собственность (по заявлению), если не предусмотрено предоставление равнозначного жилого помещения </t>
  </si>
  <si>
    <t xml:space="preserve">Предоставление нанимателям жилого помещения другого равнозначного жилого помещения (если предусмотрено предоставление равнозначного жилого помещения) </t>
  </si>
  <si>
    <t>Граждане, переселяемые из аварийных индивидуальных домов, домов блокированной застройки, садовых домов:</t>
  </si>
  <si>
    <t>Предоставление собственникам дома возмещения в размере рыночной стоимости дома и земельного участка, а также убытков</t>
  </si>
  <si>
    <t>% от площади домов</t>
  </si>
  <si>
    <t>Предоставление иного земельного участка или жилого помещения</t>
  </si>
  <si>
    <t>% от площади жилых помещений в аварийном МКД</t>
  </si>
  <si>
    <t>% от площади жилых помещений в ветхих МКД</t>
  </si>
  <si>
    <t>аварийные индивидуальные дома, дома блокированной застройки, садовые дома</t>
  </si>
  <si>
    <t xml:space="preserve">Средняя рыночная цена жилья в аварийном МКД </t>
  </si>
  <si>
    <t>Средняя рыночная цена жилья в ветхом МКД</t>
  </si>
  <si>
    <t xml:space="preserve">Средняя цена ИЖС в районе проекта (или в муниципальном образовании), включая земельный участок </t>
  </si>
  <si>
    <t xml:space="preserve">Средняя цена ИЖС в границах проекта, подлежащих сносу, включая земельный участок </t>
  </si>
  <si>
    <t xml:space="preserve">Нормативная стоимость 1 кв. м общей площади жилых помещений, установленная Минстроем России </t>
  </si>
  <si>
    <t>Средняя цена приобретения нежилого помещения для коммерческих целей в районе проекта</t>
  </si>
  <si>
    <t xml:space="preserve">Средняя цена земельных участков в границах проекта (оценочно) </t>
  </si>
  <si>
    <t>млн руб. за га</t>
  </si>
  <si>
    <t>Средние затраты на разработку проектной документации для жилищного строительства</t>
  </si>
  <si>
    <t>Средние затраты на благоустройство территорий общего пользования</t>
  </si>
  <si>
    <t>Средние затраты на снос</t>
  </si>
  <si>
    <t>Доля иных расходов по проекту</t>
  </si>
  <si>
    <t>иные индивидуальные дома, дома блокированной застройки, садовые дома</t>
  </si>
  <si>
    <r>
      <t xml:space="preserve">Общая площадь нежилых (коммерческих) помещений </t>
    </r>
    <r>
      <rPr>
        <b/>
        <i/>
        <sz val="12"/>
        <rFont val="Arial"/>
        <family val="2"/>
      </rPr>
      <t>в подлежащей сносу жилой застройке</t>
    </r>
    <r>
      <rPr>
        <sz val="12"/>
        <rFont val="Arial"/>
        <family val="2"/>
      </rPr>
      <t>, в том числе:</t>
    </r>
  </si>
  <si>
    <r>
      <t xml:space="preserve">Общая площадь нежилых (коммерческих) помещений </t>
    </r>
    <r>
      <rPr>
        <b/>
        <i/>
        <sz val="12"/>
        <rFont val="Arial"/>
        <family val="2"/>
      </rPr>
      <t>в сохраняемой жилой застройке</t>
    </r>
  </si>
  <si>
    <t>иные социальные объекты</t>
  </si>
  <si>
    <t>Ставка НДС</t>
  </si>
  <si>
    <t>4.3.1</t>
  </si>
  <si>
    <t>4.3.2</t>
  </si>
  <si>
    <t>5.2</t>
  </si>
  <si>
    <t>Аварийные МКД</t>
  </si>
  <si>
    <t>Аварийные МКД (накопленным итогом)</t>
  </si>
  <si>
    <t>Ветхие МКД</t>
  </si>
  <si>
    <t>Ветхие МКД (накопленным итогом)</t>
  </si>
  <si>
    <t>Аварийные индивидуальные дома, дома блокированной застройки, садовые дома</t>
  </si>
  <si>
    <t>Аварийные индивидуальные дома, дома блокированной застройки, садовые дома (накопленным итогом)</t>
  </si>
  <si>
    <t>Нежилые (коммерческие) помещения в сносимых МКД</t>
  </si>
  <si>
    <t>Нежилые (коммерческие) помещения в сносимых МКД (накопленным итогом)</t>
  </si>
  <si>
    <t>Существующие парковочные места, в том числе:</t>
  </si>
  <si>
    <t xml:space="preserve">Нежилые (коммерческие) помещения в первых этажах многоквартирных домов </t>
  </si>
  <si>
    <t>Нежилые (коммерческие) помещения в первых этажах многоквартирных домов (накопленный итог)</t>
  </si>
  <si>
    <t>Формы компенсаций переселяемым гражданам</t>
  </si>
  <si>
    <t xml:space="preserve">Средняя цена приобретения нежилого помещения коммерческого использования в районе проекта </t>
  </si>
  <si>
    <t xml:space="preserve">Средние затраты на строительство школы (отдельно стоящие объекты) </t>
  </si>
  <si>
    <t>Средние затраты на строительство социальной инфраструктуры (отдельно стоящие объекты) - школы</t>
  </si>
  <si>
    <t>Граждане, переселяемые из аварийных МКД:</t>
  </si>
  <si>
    <t xml:space="preserve">              в построенных в границах КРТ МКД</t>
  </si>
  <si>
    <t>Доля жилых помещений, предоставляемых собственникам жилых помещений в аварийных и ветхих МКД, построенных застройщиком в границах КРТ</t>
  </si>
  <si>
    <t>Доля жилых помещений, предоставляемых собственникам жилых помещений в аварийных и ветхих МКД, построенных застройщиком за границами КРТ</t>
  </si>
  <si>
    <t xml:space="preserve">              в построенных за границами КРТ МКД</t>
  </si>
  <si>
    <t xml:space="preserve">Суммарные прямые расходы застройщика на возмещение за изъятие нежилых помещений </t>
  </si>
  <si>
    <t>Цена торгов на право заключить договор КРТ</t>
  </si>
  <si>
    <t xml:space="preserve">Проектное финансирование </t>
  </si>
  <si>
    <t>Проценты по проектному финансированию</t>
  </si>
  <si>
    <t xml:space="preserve">Субсидии застройщику за счет средств Фонда ЖКХ, регионального, местного бюджетов </t>
  </si>
  <si>
    <t>Финансирование за счет доходов от продаж</t>
  </si>
  <si>
    <t>Общие доходы от продаж</t>
  </si>
  <si>
    <t>Общий объем инвестиций и расходов на проценты по проектному финансированию</t>
  </si>
  <si>
    <t>Расходы на выкуп жилья и нежилых помещений</t>
  </si>
  <si>
    <t>Совокупная капитализация в ценах базового года (год начала проекта минус один), в т. ч. по видам застройки:</t>
  </si>
  <si>
    <t xml:space="preserve">Ежегодный прирост капитализации в ценах базового года (год начала проекта минус один), в т. ч. по компонентам: </t>
  </si>
  <si>
    <t>Инфраструктура (инженерная, социальная, транспортная) и благоутройство</t>
  </si>
  <si>
    <t xml:space="preserve">Налоговые доходы муниципального образования и региона после реализации проекта </t>
  </si>
  <si>
    <t>Новые коммерческие помещения (первые этажи МКД и отдельно стоящие объекты)</t>
  </si>
  <si>
    <t xml:space="preserve">млн руб. в год </t>
  </si>
  <si>
    <t>Средства Фонда ЖКХ на возмещение затрат застройщика на переселение их аварийных МКД</t>
  </si>
  <si>
    <t>млн руб. в ценах базового года</t>
  </si>
  <si>
    <t>Капитализация территории (в ценах базового года)</t>
  </si>
  <si>
    <t>Прирост капитализации территории (в ценах базового года)</t>
  </si>
  <si>
    <t>Бюджетные доходы по налогу на прибыль и НДС</t>
  </si>
  <si>
    <t>Показатели бюджетной эффективности и эффективности для экономики города</t>
  </si>
  <si>
    <t>Расходы бюджета на содержание публичной инфраструктуры (амортизация инфраструктуры и благоустройства (эквивалент необходимых инвестиций в поддержание качества городской среды - инфраструктуры и благоустройства)</t>
  </si>
  <si>
    <t xml:space="preserve">Чистые доходы местного бюджета </t>
  </si>
  <si>
    <t xml:space="preserve">Чистые доходы регионального бюджета </t>
  </si>
  <si>
    <t>Показатели бюджетной эффективности</t>
  </si>
  <si>
    <t>Налоги</t>
  </si>
  <si>
    <t>Доля компенсируемых за счет средств Фонда ЖКХ  затрат на переселение из аварийных МКД</t>
  </si>
  <si>
    <t>Распределение выгод от проекта между стейкхолдерами</t>
  </si>
  <si>
    <t xml:space="preserve">Чистые доходы бюджета города после реализации проекта </t>
  </si>
  <si>
    <t xml:space="preserve">Чистые доходы бюджета региона после реализации проекта </t>
  </si>
  <si>
    <t>Моделируемое значение (рассчитывается автоматически)</t>
  </si>
  <si>
    <t xml:space="preserve">Капитализация территории  </t>
  </si>
  <si>
    <t>Цена права КРТ</t>
  </si>
  <si>
    <t>Cредства от продажи жилья</t>
  </si>
  <si>
    <t>Распределение прироста капитализации территории, млн руб. в ценах базового года</t>
  </si>
  <si>
    <t>Совокупная капитализация, млн руб. в ценах базового года</t>
  </si>
  <si>
    <t>Совокупные чистые доходы местного и регионального бюджетов</t>
  </si>
  <si>
    <t>Графики</t>
  </si>
  <si>
    <t>Графическое изображение основных результатов моделирования</t>
  </si>
  <si>
    <t xml:space="preserve">Период между завершением сноса и началом строительства </t>
  </si>
  <si>
    <t xml:space="preserve">Базовое значение </t>
  </si>
  <si>
    <t>Коэффициент плотности застройки земельного участка  для жилой многоэтажной застройки</t>
  </si>
  <si>
    <t>Застройщик (максимальная чистая прибыль от реализации проекта с учетом упущенной выгоды)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</si>
</sst>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0.0"/>
    <numFmt numFmtId="166" formatCode="#,##0.0"/>
    <numFmt numFmtId="167" formatCode="0.0%"/>
    <numFmt numFmtId="168" formatCode="0.0000"/>
    <numFmt numFmtId="169" formatCode="_(* #,##0.00_);_(* \(#,##0.00\);_(* &quot;-&quot;_);@_)"/>
    <numFmt numFmtId="170" formatCode="_(* #,##0.00_);_(* \(#,##0.00\);_(* &quot;-&quot;??_);_(@_)"/>
    <numFmt numFmtId="171" formatCode="_(* #,##0_);_(* \(#,##0\);_(* &quot;-&quot;_);@_)"/>
    <numFmt numFmtId="172" formatCode="#,##0.000"/>
  </numFmts>
  <fonts count="5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4"/>
      <color theme="0"/>
      <name val="Arial"/>
      <family val="2"/>
    </font>
    <font>
      <sz val="12"/>
      <color theme="1"/>
      <name val="Arial"/>
      <family val="2"/>
    </font>
    <font>
      <sz val="14"/>
      <color theme="1"/>
      <name val="Arial"/>
      <family val="2"/>
    </font>
    <font>
      <sz val="14"/>
      <name val="Arial"/>
      <family val="2"/>
    </font>
    <font>
      <sz val="14"/>
      <color rgb="FF000000"/>
      <name val="Arial"/>
      <family val="2"/>
    </font>
    <font>
      <b/>
      <sz val="14"/>
      <color theme="0"/>
      <name val="Arial"/>
      <family val="2"/>
    </font>
    <font>
      <sz val="14"/>
      <color theme="8" tint="-0.499984740745262"/>
      <name val="Arial"/>
      <family val="2"/>
    </font>
    <font>
      <b/>
      <sz val="12"/>
      <color theme="1"/>
      <name val="Arial"/>
      <family val="2"/>
    </font>
    <font>
      <b/>
      <sz val="14"/>
      <color theme="1"/>
      <name val="Arial"/>
      <family val="2"/>
    </font>
    <font>
      <sz val="12"/>
      <color theme="0"/>
      <name val="Arial"/>
      <family val="2"/>
    </font>
    <font>
      <b/>
      <sz val="12"/>
      <color theme="0"/>
      <name val="Arial"/>
      <family val="2"/>
    </font>
    <font>
      <sz val="8"/>
      <name val="Calibri"/>
      <family val="2"/>
      <scheme val="minor"/>
    </font>
    <font>
      <sz val="12"/>
      <name val="Arial"/>
      <family val="2"/>
    </font>
    <font>
      <b/>
      <i/>
      <sz val="12"/>
      <name val="Arial"/>
      <family val="2"/>
    </font>
    <font>
      <sz val="12"/>
      <color rgb="FF000000"/>
      <name val="Arial"/>
      <family val="2"/>
    </font>
    <font>
      <sz val="12"/>
      <color rgb="FFFF0000"/>
      <name val="Arial"/>
      <family val="2"/>
    </font>
    <font>
      <b/>
      <i/>
      <sz val="12"/>
      <color theme="0"/>
      <name val="Arial"/>
      <family val="2"/>
    </font>
    <font>
      <b/>
      <sz val="14"/>
      <color theme="1"/>
      <name val="Arial"/>
      <family val="2"/>
      <charset val="204"/>
    </font>
    <font>
      <sz val="14"/>
      <color rgb="FFFF0000"/>
      <name val="Arial"/>
      <family val="2"/>
    </font>
    <font>
      <sz val="14"/>
      <color theme="0"/>
      <name val="Arial"/>
      <family val="2"/>
      <charset val="204"/>
    </font>
    <font>
      <sz val="10"/>
      <color theme="1"/>
      <name val="Arial"/>
      <family val="2"/>
    </font>
    <font>
      <b/>
      <sz val="10"/>
      <color theme="0"/>
      <name val="Arial"/>
      <family val="2"/>
    </font>
    <font>
      <b/>
      <sz val="10"/>
      <color theme="1"/>
      <name val="Arial"/>
      <family val="2"/>
    </font>
    <font>
      <b/>
      <sz val="10"/>
      <name val="Arial"/>
      <family val="2"/>
    </font>
    <font>
      <sz val="10"/>
      <name val="Arial"/>
      <family val="2"/>
    </font>
    <font>
      <sz val="10"/>
      <color rgb="FFFF0000"/>
      <name val="Arial"/>
      <family val="2"/>
    </font>
    <font>
      <sz val="10"/>
      <color theme="1"/>
      <name val="Arial"/>
      <family val="2"/>
      <charset val="204"/>
    </font>
    <font>
      <i/>
      <sz val="14"/>
      <name val="Arial"/>
      <family val="2"/>
    </font>
    <font>
      <sz val="14"/>
      <color theme="1"/>
      <name val="Arial"/>
      <family val="2"/>
      <charset val="204"/>
    </font>
    <font>
      <sz val="14"/>
      <color theme="1"/>
      <name val="Calibri"/>
      <family val="2"/>
      <scheme val="minor"/>
    </font>
    <font>
      <u/>
      <sz val="14"/>
      <color theme="1"/>
      <name val="Arial"/>
      <family val="2"/>
    </font>
    <font>
      <sz val="10"/>
      <color theme="0"/>
      <name val="Arial"/>
      <family val="2"/>
    </font>
    <font>
      <sz val="10"/>
      <name val="Arial"/>
      <family val="2"/>
      <charset val="204"/>
    </font>
    <font>
      <b/>
      <sz val="15"/>
      <color theme="3"/>
      <name val="Calibri"/>
      <family val="2"/>
      <charset val="204"/>
      <scheme val="minor"/>
    </font>
    <font>
      <sz val="11"/>
      <color theme="1"/>
      <name val="Calibri"/>
      <family val="2"/>
      <charset val="204"/>
      <scheme val="minor"/>
    </font>
    <font>
      <b/>
      <sz val="12"/>
      <color rgb="FFFFFFFF"/>
      <name val="Arial"/>
      <family val="2"/>
    </font>
    <font>
      <b/>
      <sz val="12"/>
      <name val="Arial"/>
      <family val="2"/>
    </font>
    <font>
      <sz val="12"/>
      <color rgb="FFFFFFFF"/>
      <name val="Arial"/>
      <family val="2"/>
    </font>
    <font>
      <b/>
      <sz val="12"/>
      <color rgb="FF000000"/>
      <name val="Arial"/>
      <family val="2"/>
    </font>
    <font>
      <b/>
      <sz val="12"/>
      <color theme="1"/>
      <name val="Arial"/>
      <family val="2"/>
      <charset val="204"/>
    </font>
    <font>
      <sz val="12"/>
      <color theme="0"/>
      <name val="Arial"/>
      <family val="2"/>
      <charset val="204"/>
    </font>
    <font>
      <sz val="12"/>
      <color theme="1"/>
      <name val="Arial"/>
      <family val="2"/>
      <charset val="204"/>
    </font>
    <font>
      <b/>
      <sz val="12"/>
      <name val="Arial"/>
      <family val="2"/>
      <charset val="204"/>
    </font>
    <font>
      <sz val="16"/>
      <color theme="1"/>
      <name val="Arial"/>
      <family val="2"/>
    </font>
    <font>
      <sz val="16"/>
      <color rgb="FF000000"/>
      <name val="Arial"/>
      <family val="2"/>
    </font>
    <font>
      <b/>
      <sz val="14"/>
      <name val="Arial"/>
      <family val="2"/>
    </font>
    <font>
      <b/>
      <sz val="16"/>
      <color theme="0"/>
      <name val="Arial"/>
      <family val="2"/>
    </font>
    <font>
      <sz val="16"/>
      <color theme="8" tint="-0.499984740745262"/>
      <name val="Arial"/>
      <family val="2"/>
    </font>
    <font>
      <sz val="16"/>
      <color theme="0"/>
      <name val="Arial"/>
      <family val="2"/>
    </font>
  </fonts>
  <fills count="19">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0"/>
        <bgColor rgb="FF000000"/>
      </patternFill>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3"/>
        <bgColor indexed="64"/>
      </patternFill>
    </fill>
    <fill>
      <patternFill patternType="solid">
        <fgColor theme="8" tint="-0.499984740745262"/>
        <bgColor indexed="64"/>
      </patternFill>
    </fill>
    <fill>
      <patternFill patternType="solid">
        <fgColor theme="2" tint="-0.499984740745262"/>
        <bgColor indexed="64"/>
      </patternFill>
    </fill>
    <fill>
      <patternFill patternType="solid">
        <fgColor rgb="FFFFFFFF"/>
        <bgColor rgb="FF000000"/>
      </patternFill>
    </fill>
    <fill>
      <patternFill patternType="solid">
        <fgColor theme="4" tint="-0.499984740745262"/>
        <bgColor indexed="64"/>
      </patternFill>
    </fill>
    <fill>
      <patternFill patternType="solid">
        <fgColor theme="4" tint="-0.249977111117893"/>
        <bgColor rgb="FF000000"/>
      </patternFill>
    </fill>
    <fill>
      <patternFill patternType="solid">
        <fgColor rgb="FFFFC00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theme="1"/>
      </left>
      <right style="thin">
        <color auto="1"/>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theme="1"/>
      </top>
      <bottom/>
      <diagonal/>
    </border>
    <border>
      <left style="thin">
        <color theme="1"/>
      </left>
      <right style="thin">
        <color auto="1"/>
      </right>
      <top/>
      <bottom style="thin">
        <color auto="1"/>
      </bottom>
      <diagonal/>
    </border>
    <border>
      <left style="thin">
        <color theme="0" tint="-0.34998626667073579"/>
      </left>
      <right/>
      <top/>
      <bottom/>
      <diagonal/>
    </border>
    <border>
      <left/>
      <right/>
      <top style="thin">
        <color theme="4" tint="-0.249977111117893"/>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bottom style="medium">
        <color theme="4" tint="-0.249977111117893"/>
      </bottom>
      <diagonal/>
    </border>
    <border>
      <left style="thin">
        <color theme="4" tint="-0.249977111117893"/>
      </left>
      <right style="thin">
        <color theme="4" tint="-0.249977111117893"/>
      </right>
      <top/>
      <bottom style="medium">
        <color theme="4" tint="-0.249977111117893"/>
      </bottom>
      <diagonal/>
    </border>
    <border>
      <left/>
      <right/>
      <top/>
      <bottom style="medium">
        <color theme="4" tint="-0.249977111117893"/>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right style="thin">
        <color theme="4" tint="-0.249977111117893"/>
      </right>
      <top/>
      <bottom style="medium">
        <color theme="4" tint="-0.249977111117893"/>
      </bottom>
      <diagonal/>
    </border>
    <border>
      <left/>
      <right/>
      <top/>
      <bottom style="thin">
        <color auto="1"/>
      </bottom>
      <diagonal/>
    </border>
    <border>
      <left/>
      <right style="thin">
        <color auto="1"/>
      </right>
      <top style="thin">
        <color auto="1"/>
      </top>
      <bottom/>
      <diagonal/>
    </border>
    <border>
      <left style="thin">
        <color theme="4" tint="-0.249977111117893"/>
      </left>
      <right style="thin">
        <color theme="4" tint="-0.249977111117893"/>
      </right>
      <top/>
      <bottom/>
      <diagonal/>
    </border>
    <border>
      <left style="thin">
        <color auto="1"/>
      </left>
      <right style="medium">
        <color indexed="64"/>
      </right>
      <top style="medium">
        <color indexed="64"/>
      </top>
      <bottom style="thin">
        <color auto="1"/>
      </bottom>
      <diagonal/>
    </border>
    <border>
      <left style="medium">
        <color indexed="64"/>
      </left>
      <right style="thin">
        <color theme="1"/>
      </right>
      <top style="thin">
        <color theme="1"/>
      </top>
      <bottom/>
      <diagonal/>
    </border>
    <border>
      <left style="thin">
        <color auto="1"/>
      </left>
      <right style="medium">
        <color indexed="64"/>
      </right>
      <top style="thin">
        <color auto="1"/>
      </top>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s>
  <cellStyleXfs count="1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1" fillId="0" borderId="0"/>
    <xf numFmtId="0" fontId="37" fillId="0" borderId="18" applyNumberFormat="0" applyFill="0" applyAlignment="0" applyProtection="0"/>
    <xf numFmtId="170" fontId="36" fillId="0" borderId="0" applyFont="0" applyFill="0" applyBorder="0" applyAlignment="0" applyProtection="0"/>
    <xf numFmtId="9" fontId="38" fillId="0" borderId="0" applyFont="0" applyFill="0" applyBorder="0" applyAlignment="0" applyProtection="0"/>
  </cellStyleXfs>
  <cellXfs count="440">
    <xf numFmtId="0" fontId="0" fillId="0" borderId="0" xfId="0"/>
    <xf numFmtId="0" fontId="4" fillId="3" borderId="1" xfId="0" applyFont="1" applyFill="1" applyBorder="1" applyAlignment="1">
      <alignment horizontal="center"/>
    </xf>
    <xf numFmtId="0" fontId="5" fillId="0" borderId="0" xfId="0" applyFont="1"/>
    <xf numFmtId="0" fontId="6" fillId="0" borderId="1" xfId="0" applyFont="1" applyBorder="1"/>
    <xf numFmtId="0" fontId="6" fillId="0" borderId="1" xfId="0" applyFont="1" applyBorder="1" applyAlignment="1">
      <alignment horizontal="center"/>
    </xf>
    <xf numFmtId="0" fontId="5" fillId="0" borderId="1" xfId="0" applyFont="1" applyBorder="1"/>
    <xf numFmtId="0" fontId="6" fillId="0" borderId="1" xfId="0" applyFont="1" applyBorder="1" applyAlignment="1">
      <alignment horizontal="center" vertical="center"/>
    </xf>
    <xf numFmtId="0" fontId="6" fillId="0" borderId="1" xfId="0" applyFont="1" applyBorder="1" applyAlignment="1">
      <alignment wrapText="1"/>
    </xf>
    <xf numFmtId="0" fontId="8" fillId="0" borderId="1" xfId="0" applyFont="1" applyBorder="1" applyAlignment="1">
      <alignment horizontal="center" vertical="center" wrapText="1"/>
    </xf>
    <xf numFmtId="0" fontId="9" fillId="4" borderId="1" xfId="0" applyFont="1" applyFill="1" applyBorder="1" applyAlignment="1">
      <alignment horizontal="left" vertical="center"/>
    </xf>
    <xf numFmtId="0" fontId="6" fillId="0" borderId="1" xfId="0" applyFont="1" applyFill="1" applyBorder="1"/>
    <xf numFmtId="0" fontId="8" fillId="0" borderId="1" xfId="0" applyFont="1" applyFill="1" applyBorder="1" applyAlignment="1">
      <alignment horizontal="center" vertical="center" wrapText="1"/>
    </xf>
    <xf numFmtId="0" fontId="6" fillId="6" borderId="1" xfId="0" applyFont="1" applyFill="1" applyBorder="1"/>
    <xf numFmtId="0" fontId="9" fillId="4" borderId="4" xfId="0" applyFont="1" applyFill="1" applyBorder="1" applyAlignment="1"/>
    <xf numFmtId="0" fontId="6" fillId="6" borderId="1" xfId="0" applyFont="1" applyFill="1" applyBorder="1" applyAlignment="1">
      <alignment horizontal="left"/>
    </xf>
    <xf numFmtId="0" fontId="5" fillId="6" borderId="0" xfId="0" applyFont="1" applyFill="1"/>
    <xf numFmtId="2" fontId="7" fillId="0" borderId="1" xfId="0" applyNumberFormat="1" applyFont="1" applyBorder="1" applyAlignment="1">
      <alignment horizontal="left" wrapText="1"/>
    </xf>
    <xf numFmtId="0" fontId="8" fillId="0" borderId="1" xfId="0" applyFont="1" applyBorder="1" applyAlignment="1">
      <alignment horizontal="center" wrapText="1"/>
    </xf>
    <xf numFmtId="2" fontId="6" fillId="0" borderId="1" xfId="0" applyNumberFormat="1" applyFont="1" applyBorder="1" applyAlignment="1">
      <alignment horizontal="center"/>
    </xf>
    <xf numFmtId="0" fontId="6" fillId="0" borderId="1" xfId="0" applyFont="1" applyFill="1" applyBorder="1" applyAlignment="1">
      <alignment horizontal="center"/>
    </xf>
    <xf numFmtId="9" fontId="6" fillId="0" borderId="1" xfId="0" applyNumberFormat="1" applyFont="1" applyBorder="1" applyAlignment="1">
      <alignment horizontal="center"/>
    </xf>
    <xf numFmtId="165" fontId="6" fillId="0" borderId="1" xfId="0" applyNumberFormat="1" applyFont="1" applyBorder="1" applyAlignment="1">
      <alignment horizontal="center"/>
    </xf>
    <xf numFmtId="2" fontId="7" fillId="0" borderId="1" xfId="0" applyNumberFormat="1" applyFont="1" applyFill="1" applyBorder="1" applyAlignment="1">
      <alignment horizontal="left" wrapText="1"/>
    </xf>
    <xf numFmtId="0" fontId="6" fillId="0" borderId="1" xfId="0" applyFont="1" applyFill="1" applyBorder="1" applyAlignment="1">
      <alignment horizontal="center" vertical="center"/>
    </xf>
    <xf numFmtId="0" fontId="5" fillId="0" borderId="0" xfId="0" applyFont="1" applyFill="1"/>
    <xf numFmtId="0" fontId="8" fillId="5" borderId="1" xfId="0" applyFont="1" applyFill="1" applyBorder="1"/>
    <xf numFmtId="0" fontId="8" fillId="5" borderId="2" xfId="0" applyFont="1" applyFill="1" applyBorder="1"/>
    <xf numFmtId="165" fontId="5" fillId="0" borderId="0" xfId="0" applyNumberFormat="1" applyFont="1"/>
    <xf numFmtId="0" fontId="6" fillId="6" borderId="1" xfId="0" applyFont="1" applyFill="1" applyBorder="1" applyAlignment="1">
      <alignment wrapText="1"/>
    </xf>
    <xf numFmtId="0" fontId="6" fillId="0" borderId="3" xfId="0" applyFont="1" applyBorder="1" applyAlignment="1">
      <alignment horizontal="center"/>
    </xf>
    <xf numFmtId="165" fontId="6" fillId="0" borderId="1" xfId="0" applyNumberFormat="1" applyFont="1" applyFill="1" applyBorder="1" applyAlignment="1">
      <alignment horizontal="center"/>
    </xf>
    <xf numFmtId="0" fontId="9" fillId="4" borderId="1" xfId="0" applyFont="1" applyFill="1" applyBorder="1"/>
    <xf numFmtId="0" fontId="6" fillId="0" borderId="3" xfId="0" applyFont="1" applyBorder="1"/>
    <xf numFmtId="0" fontId="8" fillId="0" borderId="3" xfId="0" applyFont="1" applyBorder="1" applyAlignment="1">
      <alignment horizontal="center"/>
    </xf>
    <xf numFmtId="0" fontId="8" fillId="2" borderId="6" xfId="0" applyFont="1" applyFill="1" applyBorder="1" applyAlignment="1">
      <alignment horizontal="center"/>
    </xf>
    <xf numFmtId="165" fontId="6" fillId="0" borderId="5" xfId="0" applyNumberFormat="1" applyFont="1" applyBorder="1" applyAlignment="1">
      <alignment horizontal="center"/>
    </xf>
    <xf numFmtId="168" fontId="5" fillId="0" borderId="0" xfId="0" applyNumberFormat="1" applyFont="1"/>
    <xf numFmtId="0" fontId="9" fillId="4" borderId="1" xfId="0" applyFont="1" applyFill="1" applyBorder="1" applyAlignment="1">
      <alignment wrapText="1"/>
    </xf>
    <xf numFmtId="10" fontId="6" fillId="0" borderId="1" xfId="0" applyNumberFormat="1" applyFont="1" applyBorder="1" applyAlignment="1">
      <alignment horizontal="center"/>
    </xf>
    <xf numFmtId="0" fontId="9" fillId="4" borderId="1" xfId="0" applyFont="1" applyFill="1" applyBorder="1" applyAlignment="1">
      <alignment horizontal="center"/>
    </xf>
    <xf numFmtId="0" fontId="6" fillId="0" borderId="1" xfId="0" applyFont="1" applyBorder="1" applyAlignment="1">
      <alignment horizontal="left"/>
    </xf>
    <xf numFmtId="2" fontId="6" fillId="0" borderId="1" xfId="0" applyNumberFormat="1" applyFont="1" applyBorder="1" applyAlignment="1">
      <alignment horizontal="center" vertical="center"/>
    </xf>
    <xf numFmtId="165" fontId="6" fillId="0" borderId="1" xfId="0" applyNumberFormat="1" applyFont="1" applyBorder="1" applyAlignment="1">
      <alignment horizontal="center" wrapText="1"/>
    </xf>
    <xf numFmtId="0" fontId="6" fillId="0" borderId="1" xfId="0" applyFont="1" applyBorder="1" applyAlignment="1">
      <alignment horizontal="left" wrapText="1"/>
    </xf>
    <xf numFmtId="1" fontId="6" fillId="0" borderId="1" xfId="0" applyNumberFormat="1" applyFont="1" applyBorder="1" applyAlignment="1">
      <alignment horizontal="center"/>
    </xf>
    <xf numFmtId="2" fontId="5" fillId="0" borderId="0" xfId="0" applyNumberFormat="1" applyFont="1"/>
    <xf numFmtId="0" fontId="6" fillId="0" borderId="0" xfId="0" applyFont="1"/>
    <xf numFmtId="0" fontId="14" fillId="3" borderId="0" xfId="0" applyFont="1" applyFill="1"/>
    <xf numFmtId="0" fontId="5" fillId="0" borderId="1" xfId="0" applyFont="1" applyBorder="1" applyAlignment="1">
      <alignment horizontal="center" vertical="center"/>
    </xf>
    <xf numFmtId="0" fontId="16" fillId="0" borderId="1" xfId="0" applyFont="1" applyBorder="1" applyAlignment="1">
      <alignment horizontal="center" vertical="center"/>
    </xf>
    <xf numFmtId="0" fontId="5" fillId="0"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0" fillId="0" borderId="0" xfId="0" applyFont="1"/>
    <xf numFmtId="166" fontId="5" fillId="0" borderId="0" xfId="12" applyNumberFormat="1" applyFont="1" applyAlignment="1">
      <alignment horizontal="center"/>
    </xf>
    <xf numFmtId="0" fontId="19" fillId="0" borderId="0" xfId="0" applyFont="1"/>
    <xf numFmtId="0" fontId="16" fillId="0" borderId="1" xfId="0" applyFont="1" applyBorder="1" applyAlignment="1">
      <alignment horizontal="left" vertical="top" wrapText="1"/>
    </xf>
    <xf numFmtId="0" fontId="14" fillId="3" borderId="1" xfId="0" applyFont="1" applyFill="1" applyBorder="1"/>
    <xf numFmtId="0" fontId="6" fillId="6"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16" fillId="8" borderId="1"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center" vertical="center"/>
    </xf>
    <xf numFmtId="0" fontId="13" fillId="12" borderId="0" xfId="0" applyFont="1" applyFill="1" applyAlignment="1">
      <alignment horizontal="left" vertical="top" wrapText="1"/>
    </xf>
    <xf numFmtId="0" fontId="11" fillId="0" borderId="0" xfId="0" applyFont="1" applyAlignment="1">
      <alignment horizontal="left" vertical="top" wrapText="1"/>
    </xf>
    <xf numFmtId="0" fontId="5" fillId="0" borderId="0" xfId="0" applyFont="1" applyAlignment="1">
      <alignment horizontal="center" vertical="center" wrapText="1"/>
    </xf>
    <xf numFmtId="9" fontId="11" fillId="0" borderId="0" xfId="0" applyNumberFormat="1" applyFont="1" applyAlignment="1">
      <alignment horizontal="center" vertical="center"/>
    </xf>
    <xf numFmtId="0" fontId="21" fillId="0" borderId="0" xfId="0" applyFont="1"/>
    <xf numFmtId="166" fontId="5" fillId="0" borderId="1" xfId="12" applyNumberFormat="1" applyFont="1" applyFill="1" applyBorder="1" applyAlignment="1">
      <alignment horizontal="center" vertical="center"/>
    </xf>
    <xf numFmtId="49" fontId="24" fillId="0" borderId="0" xfId="0" applyNumberFormat="1" applyFont="1" applyAlignment="1">
      <alignment horizontal="left" vertical="top"/>
    </xf>
    <xf numFmtId="0" fontId="24" fillId="0" borderId="0" xfId="0" applyFont="1"/>
    <xf numFmtId="0" fontId="27" fillId="0" borderId="0" xfId="0" applyFont="1" applyAlignment="1">
      <alignment horizontal="center" vertical="center" wrapText="1"/>
    </xf>
    <xf numFmtId="9" fontId="27" fillId="0" borderId="0" xfId="0" applyNumberFormat="1" applyFont="1" applyAlignment="1">
      <alignment horizontal="center" vertical="center"/>
    </xf>
    <xf numFmtId="0" fontId="28" fillId="0" borderId="0" xfId="0" applyFont="1" applyAlignment="1">
      <alignment horizontal="left" vertical="top" wrapText="1"/>
    </xf>
    <xf numFmtId="2" fontId="28" fillId="0" borderId="0" xfId="0" applyNumberFormat="1" applyFont="1" applyAlignment="1">
      <alignment horizontal="center" vertical="center" wrapText="1"/>
    </xf>
    <xf numFmtId="0" fontId="28" fillId="0" borderId="0" xfId="0" applyFont="1" applyAlignment="1">
      <alignment horizontal="center" vertical="center" wrapText="1"/>
    </xf>
    <xf numFmtId="9" fontId="28" fillId="0" borderId="0" xfId="0" applyNumberFormat="1" applyFont="1" applyAlignment="1">
      <alignment horizontal="center" vertical="center" wrapText="1"/>
    </xf>
    <xf numFmtId="9" fontId="28" fillId="0" borderId="0" xfId="0" applyNumberFormat="1" applyFont="1" applyAlignment="1">
      <alignment horizontal="center" vertical="center"/>
    </xf>
    <xf numFmtId="0" fontId="29" fillId="0" borderId="0" xfId="0" applyFont="1"/>
    <xf numFmtId="165" fontId="28" fillId="0" borderId="0" xfId="0" applyNumberFormat="1" applyFont="1" applyAlignment="1">
      <alignment horizontal="center" vertical="center" wrapText="1"/>
    </xf>
    <xf numFmtId="9" fontId="28" fillId="0" borderId="0" xfId="1" applyFont="1" applyAlignment="1">
      <alignment horizontal="center" vertical="center" wrapText="1"/>
    </xf>
    <xf numFmtId="9" fontId="24" fillId="0" borderId="0" xfId="1" applyFont="1" applyAlignment="1">
      <alignment horizontal="center" vertical="center" wrapText="1"/>
    </xf>
    <xf numFmtId="0" fontId="24" fillId="0" borderId="0" xfId="0" applyFont="1" applyAlignment="1">
      <alignment wrapText="1"/>
    </xf>
    <xf numFmtId="10" fontId="24" fillId="0" borderId="0" xfId="0" applyNumberFormat="1" applyFont="1" applyAlignment="1">
      <alignment vertical="top"/>
    </xf>
    <xf numFmtId="9" fontId="24" fillId="0" borderId="0" xfId="0" applyNumberFormat="1" applyFont="1" applyAlignment="1">
      <alignment horizontal="center" vertical="center" wrapText="1"/>
    </xf>
    <xf numFmtId="1" fontId="24" fillId="0" borderId="0" xfId="0" applyNumberFormat="1" applyFont="1" applyAlignment="1">
      <alignment horizontal="center" vertical="center" wrapText="1"/>
    </xf>
    <xf numFmtId="0" fontId="26" fillId="0" borderId="0" xfId="0" applyFont="1" applyAlignment="1">
      <alignment wrapText="1"/>
    </xf>
    <xf numFmtId="10" fontId="22" fillId="0" borderId="1" xfId="0" applyNumberFormat="1" applyFont="1" applyBorder="1" applyAlignment="1">
      <alignment horizontal="center"/>
    </xf>
    <xf numFmtId="49" fontId="28" fillId="0" borderId="0" xfId="0" applyNumberFormat="1" applyFont="1" applyAlignment="1">
      <alignment horizontal="left" vertical="top"/>
    </xf>
    <xf numFmtId="165" fontId="24"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xf numFmtId="0" fontId="7" fillId="6" borderId="1" xfId="0" applyFont="1" applyFill="1" applyBorder="1"/>
    <xf numFmtId="166" fontId="6" fillId="0" borderId="1" xfId="12" applyNumberFormat="1" applyFont="1" applyFill="1" applyBorder="1" applyAlignment="1">
      <alignment horizontal="center" vertical="center"/>
    </xf>
    <xf numFmtId="0" fontId="6" fillId="6" borderId="1" xfId="0" applyFont="1" applyFill="1" applyBorder="1" applyAlignment="1">
      <alignment horizontal="center" vertical="center"/>
    </xf>
    <xf numFmtId="0" fontId="31" fillId="6" borderId="1" xfId="0" applyFont="1" applyFill="1" applyBorder="1"/>
    <xf numFmtId="0" fontId="7" fillId="6" borderId="1" xfId="0" applyFont="1" applyFill="1" applyBorder="1" applyAlignment="1">
      <alignment horizontal="left" vertical="top"/>
    </xf>
    <xf numFmtId="166" fontId="6" fillId="9" borderId="1" xfId="12" applyNumberFormat="1" applyFont="1" applyFill="1" applyBorder="1" applyAlignment="1">
      <alignment horizontal="center" vertical="center"/>
    </xf>
    <xf numFmtId="0" fontId="9" fillId="4" borderId="1" xfId="0" applyFont="1" applyFill="1" applyBorder="1" applyAlignment="1">
      <alignment horizontal="left" vertical="top"/>
    </xf>
    <xf numFmtId="0" fontId="6" fillId="0" borderId="1" xfId="0" applyFont="1" applyBorder="1" applyAlignment="1">
      <alignment vertical="top"/>
    </xf>
    <xf numFmtId="0" fontId="6" fillId="0" borderId="1" xfId="0" applyFont="1" applyBorder="1" applyAlignment="1">
      <alignment horizontal="left" vertical="top"/>
    </xf>
    <xf numFmtId="0" fontId="31" fillId="6" borderId="1" xfId="0" applyFont="1" applyFill="1" applyBorder="1" applyAlignment="1">
      <alignment horizontal="left" vertical="top"/>
    </xf>
    <xf numFmtId="0" fontId="7" fillId="9" borderId="1" xfId="0" applyFont="1" applyFill="1" applyBorder="1" applyAlignment="1">
      <alignment horizontal="left" vertical="top" wrapText="1"/>
    </xf>
    <xf numFmtId="0" fontId="6" fillId="9" borderId="1" xfId="0" applyFont="1" applyFill="1" applyBorder="1" applyAlignment="1">
      <alignment horizontal="left" vertical="top" wrapText="1"/>
    </xf>
    <xf numFmtId="9" fontId="8" fillId="9" borderId="1" xfId="0" applyNumberFormat="1" applyFont="1" applyFill="1" applyBorder="1" applyAlignment="1">
      <alignment horizontal="center" vertical="center" wrapText="1"/>
    </xf>
    <xf numFmtId="0" fontId="4" fillId="12" borderId="0" xfId="0" applyFont="1" applyFill="1" applyAlignment="1">
      <alignment horizontal="left" vertical="top" wrapText="1"/>
    </xf>
    <xf numFmtId="0" fontId="6" fillId="0" borderId="0" xfId="0" applyFont="1" applyAlignment="1">
      <alignment horizontal="left" vertical="top" wrapText="1"/>
    </xf>
    <xf numFmtId="165" fontId="6" fillId="0" borderId="1" xfId="0" applyNumberFormat="1" applyFont="1" applyBorder="1" applyAlignment="1">
      <alignment horizontal="center" vertical="center"/>
    </xf>
    <xf numFmtId="0" fontId="8" fillId="9" borderId="1" xfId="0" applyFont="1" applyFill="1" applyBorder="1" applyAlignment="1">
      <alignment horizontal="center" vertical="center" wrapText="1"/>
    </xf>
    <xf numFmtId="0" fontId="8" fillId="0" borderId="4" xfId="0" applyFont="1" applyBorder="1" applyAlignment="1">
      <alignment horizont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xf>
    <xf numFmtId="0" fontId="7" fillId="0" borderId="1" xfId="0" applyFont="1" applyBorder="1" applyAlignment="1">
      <alignment horizontal="left" vertical="top" wrapText="1"/>
    </xf>
    <xf numFmtId="0" fontId="19" fillId="0" borderId="0" xfId="0" applyFont="1" applyFill="1"/>
    <xf numFmtId="2" fontId="8" fillId="0"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xf>
    <xf numFmtId="0" fontId="6" fillId="0" borderId="1" xfId="0" applyFont="1" applyFill="1" applyBorder="1" applyAlignment="1">
      <alignment wrapText="1"/>
    </xf>
    <xf numFmtId="0" fontId="12" fillId="0" borderId="1" xfId="0" applyFont="1" applyFill="1" applyBorder="1"/>
    <xf numFmtId="0" fontId="6" fillId="9" borderId="1" xfId="0" applyFont="1" applyFill="1" applyBorder="1" applyAlignment="1">
      <alignment horizontal="left" vertical="top"/>
    </xf>
    <xf numFmtId="0" fontId="6" fillId="9" borderId="1" xfId="0" applyFont="1" applyFill="1" applyBorder="1" applyAlignment="1">
      <alignment horizontal="center" vertical="center" wrapText="1"/>
    </xf>
    <xf numFmtId="0" fontId="32" fillId="0" borderId="0" xfId="0" applyFont="1"/>
    <xf numFmtId="0" fontId="33" fillId="0" borderId="0" xfId="0" applyFont="1"/>
    <xf numFmtId="0" fontId="23" fillId="13" borderId="3" xfId="0" applyFont="1" applyFill="1" applyBorder="1" applyAlignment="1">
      <alignment horizontal="center"/>
    </xf>
    <xf numFmtId="0" fontId="23" fillId="13" borderId="3" xfId="0" applyFont="1" applyFill="1" applyBorder="1"/>
    <xf numFmtId="0" fontId="6" fillId="10" borderId="11" xfId="0" applyFont="1" applyFill="1" applyBorder="1" applyAlignment="1">
      <alignment horizontal="center" vertical="center"/>
    </xf>
    <xf numFmtId="0" fontId="6" fillId="10" borderId="13" xfId="0" applyFont="1" applyFill="1" applyBorder="1" applyAlignment="1">
      <alignment horizontal="center" vertical="center"/>
    </xf>
    <xf numFmtId="0" fontId="34" fillId="10" borderId="14" xfId="13" applyFont="1" applyFill="1" applyBorder="1" applyAlignment="1">
      <alignment horizontal="left" vertical="top"/>
    </xf>
    <xf numFmtId="0" fontId="6" fillId="10" borderId="16" xfId="0" applyFont="1" applyFill="1" applyBorder="1" applyAlignment="1">
      <alignment horizontal="center" vertical="center"/>
    </xf>
    <xf numFmtId="0" fontId="34" fillId="10" borderId="2" xfId="13" applyFont="1" applyFill="1" applyBorder="1" applyAlignment="1">
      <alignment horizontal="left" vertical="top"/>
    </xf>
    <xf numFmtId="0" fontId="6" fillId="10" borderId="7" xfId="0" applyFont="1" applyFill="1" applyBorder="1" applyAlignment="1">
      <alignment horizontal="center" vertical="center"/>
    </xf>
    <xf numFmtId="0" fontId="6" fillId="10" borderId="15" xfId="0" applyFont="1" applyFill="1" applyBorder="1" applyAlignment="1">
      <alignment vertical="top"/>
    </xf>
    <xf numFmtId="0" fontId="6" fillId="10" borderId="12" xfId="0" applyFont="1" applyFill="1" applyBorder="1" applyAlignment="1">
      <alignment vertical="top" wrapText="1"/>
    </xf>
    <xf numFmtId="0" fontId="6" fillId="10" borderId="8" xfId="0" applyFont="1" applyFill="1" applyBorder="1" applyAlignment="1">
      <alignment vertical="top" wrapText="1"/>
    </xf>
    <xf numFmtId="0" fontId="6" fillId="10" borderId="17" xfId="0" applyFont="1" applyFill="1" applyBorder="1" applyAlignment="1">
      <alignment vertical="top" wrapText="1"/>
    </xf>
    <xf numFmtId="9" fontId="6" fillId="9" borderId="1" xfId="0" applyNumberFormat="1" applyFont="1" applyFill="1" applyBorder="1" applyAlignment="1">
      <alignment horizontal="center" vertical="center"/>
    </xf>
    <xf numFmtId="0" fontId="24" fillId="0" borderId="0" xfId="0" applyFont="1" applyAlignment="1">
      <alignment horizontal="center" vertical="center" wrapText="1"/>
    </xf>
    <xf numFmtId="0" fontId="26" fillId="0" borderId="0" xfId="0" applyFont="1" applyAlignment="1">
      <alignment horizontal="center" wrapText="1"/>
    </xf>
    <xf numFmtId="0" fontId="24"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horizontal="center" vertical="center" wrapText="1"/>
    </xf>
    <xf numFmtId="10" fontId="24" fillId="0" borderId="0" xfId="0" applyNumberFormat="1" applyFont="1" applyAlignment="1">
      <alignment vertical="top" wrapText="1"/>
    </xf>
    <xf numFmtId="9" fontId="24" fillId="0" borderId="0" xfId="0" applyNumberFormat="1" applyFont="1" applyAlignment="1">
      <alignment vertical="top" wrapText="1"/>
    </xf>
    <xf numFmtId="0" fontId="30" fillId="0" borderId="0" xfId="0" applyFont="1" applyAlignment="1">
      <alignment vertical="top" wrapText="1"/>
    </xf>
    <xf numFmtId="49" fontId="30" fillId="0" borderId="0" xfId="0" applyNumberFormat="1" applyFont="1" applyAlignment="1">
      <alignment vertical="top" wrapText="1"/>
    </xf>
    <xf numFmtId="0" fontId="25" fillId="3" borderId="0" xfId="0" applyFont="1" applyFill="1" applyAlignment="1">
      <alignment horizontal="left" vertical="top" wrapText="1"/>
    </xf>
    <xf numFmtId="0" fontId="25" fillId="3" borderId="0" xfId="0" applyFont="1" applyFill="1" applyAlignment="1">
      <alignment vertical="top" wrapText="1"/>
    </xf>
    <xf numFmtId="49" fontId="35" fillId="3" borderId="0" xfId="0" applyNumberFormat="1" applyFont="1" applyFill="1" applyAlignment="1">
      <alignment horizontal="left" vertical="top"/>
    </xf>
    <xf numFmtId="49" fontId="35" fillId="14" borderId="0" xfId="0" applyNumberFormat="1" applyFont="1" applyFill="1" applyAlignment="1">
      <alignment horizontal="left" vertical="top"/>
    </xf>
    <xf numFmtId="0" fontId="25" fillId="14" borderId="0" xfId="0" applyFont="1" applyFill="1" applyAlignment="1">
      <alignment horizontal="left" vertical="top" wrapText="1"/>
    </xf>
    <xf numFmtId="165" fontId="6" fillId="0" borderId="4" xfId="0" applyNumberFormat="1" applyFont="1" applyBorder="1" applyAlignment="1">
      <alignment horizontal="center"/>
    </xf>
    <xf numFmtId="0" fontId="31" fillId="0" borderId="1" xfId="0" applyFont="1" applyBorder="1"/>
    <xf numFmtId="0" fontId="9" fillId="4" borderId="0" xfId="0" applyFont="1" applyFill="1" applyAlignment="1">
      <alignment wrapText="1"/>
    </xf>
    <xf numFmtId="0" fontId="6" fillId="0" borderId="0" xfId="0" applyFont="1" applyBorder="1"/>
    <xf numFmtId="2" fontId="8" fillId="0" borderId="1" xfId="0" applyNumberFormat="1" applyFont="1" applyBorder="1" applyAlignment="1">
      <alignment horizontal="center" vertical="center" wrapText="1"/>
    </xf>
    <xf numFmtId="0" fontId="6" fillId="0" borderId="2" xfId="0" applyFont="1" applyFill="1" applyBorder="1"/>
    <xf numFmtId="165" fontId="9" fillId="4" borderId="1" xfId="0" applyNumberFormat="1" applyFont="1" applyFill="1" applyBorder="1" applyAlignment="1">
      <alignment horizontal="center" vertical="center"/>
    </xf>
    <xf numFmtId="0" fontId="9" fillId="4" borderId="1" xfId="0" applyFont="1" applyFill="1" applyBorder="1" applyAlignment="1">
      <alignment horizontal="left"/>
    </xf>
    <xf numFmtId="0" fontId="6" fillId="0" borderId="0" xfId="0" applyFont="1" applyBorder="1" applyAlignment="1">
      <alignment wrapText="1"/>
    </xf>
    <xf numFmtId="0" fontId="6" fillId="0" borderId="0" xfId="0" applyFont="1" applyBorder="1" applyAlignment="1">
      <alignment horizontal="center"/>
    </xf>
    <xf numFmtId="2" fontId="6" fillId="0" borderId="0" xfId="0" applyNumberFormat="1" applyFont="1" applyBorder="1" applyAlignment="1">
      <alignment horizontal="center"/>
    </xf>
    <xf numFmtId="9" fontId="6" fillId="0" borderId="1" xfId="1" applyFont="1" applyBorder="1" applyAlignment="1">
      <alignment horizontal="center" vertical="center"/>
    </xf>
    <xf numFmtId="1" fontId="6" fillId="0" borderId="1" xfId="0" applyNumberFormat="1" applyFont="1" applyBorder="1" applyAlignment="1">
      <alignment horizontal="center" vertical="center"/>
    </xf>
    <xf numFmtId="0" fontId="28" fillId="0" borderId="0" xfId="0" applyFont="1" applyAlignment="1">
      <alignment vertical="top" wrapText="1"/>
    </xf>
    <xf numFmtId="0" fontId="24" fillId="0" borderId="0" xfId="14" applyFont="1" applyAlignment="1">
      <alignment horizontal="left" vertical="top" wrapText="1"/>
    </xf>
    <xf numFmtId="0" fontId="36" fillId="0" borderId="0" xfId="0" applyFont="1" applyAlignment="1">
      <alignment horizontal="center" vertical="center" wrapText="1"/>
    </xf>
    <xf numFmtId="0" fontId="6" fillId="2" borderId="6" xfId="0" applyFont="1" applyFill="1" applyBorder="1" applyAlignment="1">
      <alignment horizontal="center" vertical="center"/>
    </xf>
    <xf numFmtId="2" fontId="6" fillId="0" borderId="1" xfId="0" applyNumberFormat="1" applyFont="1" applyFill="1" applyBorder="1" applyAlignment="1">
      <alignment horizontal="left" wrapText="1"/>
    </xf>
    <xf numFmtId="0" fontId="31" fillId="6" borderId="1" xfId="0" applyFont="1" applyFill="1" applyBorder="1" applyAlignment="1">
      <alignment horizontal="left" vertical="top" wrapText="1"/>
    </xf>
    <xf numFmtId="0" fontId="25" fillId="3" borderId="0" xfId="0" applyFont="1" applyFill="1" applyAlignment="1">
      <alignment horizontal="center" vertical="center" wrapText="1"/>
    </xf>
    <xf numFmtId="0" fontId="36" fillId="0" borderId="0" xfId="0" applyFont="1" applyAlignment="1">
      <alignment horizontal="left" vertical="top" wrapText="1"/>
    </xf>
    <xf numFmtId="0" fontId="24" fillId="0" borderId="0" xfId="0" applyFont="1" applyAlignment="1">
      <alignment vertical="top"/>
    </xf>
    <xf numFmtId="0" fontId="24" fillId="0" borderId="0" xfId="0" applyFont="1" applyAlignment="1">
      <alignment vertical="top" wrapText="1"/>
    </xf>
    <xf numFmtId="0" fontId="24" fillId="0" borderId="0" xfId="0" applyFont="1" applyAlignment="1">
      <alignment horizontal="center" vertical="top" wrapText="1"/>
    </xf>
    <xf numFmtId="0" fontId="6" fillId="0" borderId="0" xfId="0" applyFont="1" applyFill="1" applyAlignment="1">
      <alignment horizontal="center"/>
    </xf>
    <xf numFmtId="0" fontId="6" fillId="9" borderId="4" xfId="0" applyFont="1" applyFill="1" applyBorder="1" applyAlignment="1">
      <alignment horizontal="left" vertical="top" wrapText="1"/>
    </xf>
    <xf numFmtId="0" fontId="6" fillId="0" borderId="0" xfId="0" applyFont="1" applyFill="1" applyBorder="1" applyAlignment="1">
      <alignment horizontal="center"/>
    </xf>
    <xf numFmtId="165" fontId="6" fillId="6"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wrapText="1"/>
    </xf>
    <xf numFmtId="0" fontId="5" fillId="0" borderId="0" xfId="0" applyFont="1" applyBorder="1" applyAlignment="1">
      <alignment vertical="top" wrapText="1"/>
    </xf>
    <xf numFmtId="171" fontId="5" fillId="0" borderId="0" xfId="0" applyNumberFormat="1" applyFont="1"/>
    <xf numFmtId="171" fontId="5" fillId="0" borderId="0" xfId="0" applyNumberFormat="1" applyFont="1" applyBorder="1"/>
    <xf numFmtId="0" fontId="8" fillId="0" borderId="4" xfId="0" applyFont="1" applyBorder="1" applyAlignment="1">
      <alignment horizontal="center" vertical="center" wrapText="1"/>
    </xf>
    <xf numFmtId="0" fontId="8" fillId="6" borderId="4" xfId="0" applyFont="1" applyFill="1" applyBorder="1" applyAlignment="1">
      <alignment horizontal="center" vertical="center" wrapText="1"/>
    </xf>
    <xf numFmtId="165" fontId="6" fillId="0" borderId="2" xfId="0" applyNumberFormat="1" applyFont="1" applyBorder="1" applyAlignment="1">
      <alignment horizontal="center" vertical="center"/>
    </xf>
    <xf numFmtId="165" fontId="6" fillId="0" borderId="20" xfId="0" applyNumberFormat="1" applyFont="1" applyBorder="1" applyAlignment="1">
      <alignment horizontal="center" vertical="center"/>
    </xf>
    <xf numFmtId="165" fontId="6" fillId="0" borderId="21" xfId="0" applyNumberFormat="1" applyFont="1" applyBorder="1" applyAlignment="1">
      <alignment horizontal="center"/>
    </xf>
    <xf numFmtId="165" fontId="6" fillId="0" borderId="22" xfId="0" applyNumberFormat="1" applyFont="1" applyBorder="1" applyAlignment="1">
      <alignment horizontal="center"/>
    </xf>
    <xf numFmtId="0" fontId="6" fillId="0" borderId="23" xfId="0" applyFont="1" applyBorder="1" applyAlignment="1">
      <alignment horizontal="center" vertical="center"/>
    </xf>
    <xf numFmtId="2" fontId="6" fillId="0" borderId="24" xfId="0" applyNumberFormat="1" applyFont="1" applyBorder="1" applyAlignment="1">
      <alignment horizontal="center" vertical="center"/>
    </xf>
    <xf numFmtId="2" fontId="6" fillId="0" borderId="25" xfId="0" applyNumberFormat="1" applyFont="1" applyBorder="1" applyAlignment="1">
      <alignment horizontal="center" vertical="center"/>
    </xf>
    <xf numFmtId="0" fontId="8" fillId="0" borderId="26" xfId="0" applyFont="1" applyFill="1" applyBorder="1" applyAlignment="1">
      <alignment horizontal="center" vertical="center" wrapText="1"/>
    </xf>
    <xf numFmtId="0" fontId="6" fillId="0" borderId="19" xfId="0" applyFont="1" applyBorder="1" applyAlignment="1">
      <alignment horizontal="center" vertical="center"/>
    </xf>
    <xf numFmtId="2" fontId="6" fillId="0" borderId="19" xfId="0" applyNumberFormat="1" applyFont="1" applyBorder="1" applyAlignment="1">
      <alignment horizontal="center" vertical="center"/>
    </xf>
    <xf numFmtId="171" fontId="5" fillId="0" borderId="0" xfId="0" applyNumberFormat="1" applyFont="1" applyFill="1"/>
    <xf numFmtId="0" fontId="14" fillId="3" borderId="29" xfId="0" applyFont="1" applyFill="1" applyBorder="1" applyAlignment="1">
      <alignment horizontal="left"/>
    </xf>
    <xf numFmtId="171" fontId="5" fillId="0" borderId="29" xfId="0" applyNumberFormat="1" applyFont="1" applyBorder="1" applyAlignment="1">
      <alignment horizontal="left" vertical="top"/>
    </xf>
    <xf numFmtId="171" fontId="5" fillId="0" borderId="29" xfId="0" applyNumberFormat="1" applyFont="1" applyBorder="1"/>
    <xf numFmtId="171" fontId="5" fillId="0" borderId="29" xfId="0" applyNumberFormat="1" applyFont="1" applyFill="1" applyBorder="1" applyAlignment="1">
      <alignment horizontal="left" vertical="top"/>
    </xf>
    <xf numFmtId="0" fontId="5" fillId="3" borderId="29" xfId="0" applyFont="1" applyFill="1" applyBorder="1" applyAlignment="1">
      <alignment wrapText="1"/>
    </xf>
    <xf numFmtId="0" fontId="14" fillId="12" borderId="29" xfId="0" applyFont="1" applyFill="1" applyBorder="1" applyAlignment="1">
      <alignment horizontal="left"/>
    </xf>
    <xf numFmtId="0" fontId="5" fillId="0" borderId="29" xfId="0" applyFont="1" applyFill="1" applyBorder="1" applyAlignment="1">
      <alignment wrapText="1"/>
    </xf>
    <xf numFmtId="171" fontId="5" fillId="3" borderId="29" xfId="0" applyNumberFormat="1" applyFont="1" applyFill="1" applyBorder="1" applyAlignment="1">
      <alignment horizontal="left" vertical="top"/>
    </xf>
    <xf numFmtId="0" fontId="5" fillId="0" borderId="29" xfId="0" applyFont="1" applyBorder="1" applyAlignment="1">
      <alignment vertical="top" wrapText="1"/>
    </xf>
    <xf numFmtId="0" fontId="5" fillId="0" borderId="29" xfId="0" applyFont="1" applyFill="1" applyBorder="1" applyAlignment="1">
      <alignment vertical="top" wrapText="1"/>
    </xf>
    <xf numFmtId="171" fontId="5" fillId="3" borderId="29" xfId="0" applyNumberFormat="1" applyFont="1" applyFill="1" applyBorder="1"/>
    <xf numFmtId="0" fontId="14" fillId="3" borderId="29" xfId="0" applyFont="1" applyFill="1" applyBorder="1" applyAlignment="1">
      <alignment vertical="top"/>
    </xf>
    <xf numFmtId="171" fontId="39" fillId="17" borderId="29" xfId="0" applyNumberFormat="1" applyFont="1" applyFill="1" applyBorder="1" applyAlignment="1">
      <alignment vertical="top"/>
    </xf>
    <xf numFmtId="171" fontId="39" fillId="17" borderId="29" xfId="0" applyNumberFormat="1" applyFont="1" applyFill="1" applyBorder="1" applyAlignment="1">
      <alignment horizontal="center" vertical="center" wrapText="1"/>
    </xf>
    <xf numFmtId="0" fontId="0" fillId="0" borderId="0" xfId="0" applyFill="1"/>
    <xf numFmtId="171" fontId="5" fillId="0" borderId="29" xfId="0" applyNumberFormat="1" applyFont="1" applyBorder="1" applyAlignment="1">
      <alignment horizontal="left" vertical="top" indent="1"/>
    </xf>
    <xf numFmtId="2" fontId="6" fillId="0" borderId="1" xfId="0" applyNumberFormat="1" applyFont="1" applyFill="1" applyBorder="1" applyAlignment="1">
      <alignment horizontal="center" vertical="center"/>
    </xf>
    <xf numFmtId="171" fontId="11" fillId="0" borderId="29" xfId="0" applyNumberFormat="1" applyFont="1" applyBorder="1" applyAlignment="1">
      <alignment horizontal="left" vertical="top"/>
    </xf>
    <xf numFmtId="0" fontId="16" fillId="15" borderId="29" xfId="16" applyNumberFormat="1" applyFont="1" applyFill="1" applyBorder="1" applyAlignment="1">
      <alignment horizontal="left" vertical="center"/>
    </xf>
    <xf numFmtId="0" fontId="5" fillId="0" borderId="29" xfId="0" applyFont="1" applyBorder="1" applyAlignment="1">
      <alignment horizontal="left" vertical="top" wrapText="1"/>
    </xf>
    <xf numFmtId="0" fontId="16" fillId="15" borderId="31" xfId="16" applyNumberFormat="1" applyFont="1" applyFill="1" applyBorder="1" applyAlignment="1">
      <alignment horizontal="left" vertical="center"/>
    </xf>
    <xf numFmtId="171" fontId="5" fillId="0" borderId="31" xfId="0" applyNumberFormat="1" applyFont="1" applyBorder="1"/>
    <xf numFmtId="171" fontId="5" fillId="0" borderId="30" xfId="0" applyNumberFormat="1" applyFont="1" applyBorder="1"/>
    <xf numFmtId="14" fontId="40" fillId="15" borderId="30" xfId="0" applyNumberFormat="1" applyFont="1" applyFill="1" applyBorder="1" applyAlignment="1">
      <alignment horizontal="center" vertical="center" wrapText="1"/>
    </xf>
    <xf numFmtId="0" fontId="0" fillId="0" borderId="0" xfId="0" applyBorder="1"/>
    <xf numFmtId="14" fontId="40" fillId="15" borderId="35" xfId="0" applyNumberFormat="1" applyFont="1" applyFill="1" applyBorder="1" applyAlignment="1">
      <alignment horizontal="left" vertical="center"/>
    </xf>
    <xf numFmtId="171" fontId="39" fillId="17" borderId="36" xfId="0" applyNumberFormat="1" applyFont="1" applyFill="1" applyBorder="1" applyAlignment="1">
      <alignment horizontal="left"/>
    </xf>
    <xf numFmtId="171" fontId="41" fillId="17" borderId="28" xfId="0" applyNumberFormat="1" applyFont="1" applyFill="1" applyBorder="1" applyAlignment="1">
      <alignment horizontal="left"/>
    </xf>
    <xf numFmtId="14" fontId="40" fillId="15" borderId="33" xfId="0" applyNumberFormat="1" applyFont="1" applyFill="1" applyBorder="1" applyAlignment="1">
      <alignment horizontal="left" vertical="center"/>
    </xf>
    <xf numFmtId="0" fontId="16" fillId="15" borderId="30" xfId="16" applyNumberFormat="1" applyFont="1" applyFill="1" applyBorder="1" applyAlignment="1">
      <alignment horizontal="left" vertical="center"/>
    </xf>
    <xf numFmtId="166" fontId="16" fillId="15" borderId="30" xfId="16" applyNumberFormat="1" applyFont="1" applyFill="1" applyBorder="1" applyAlignment="1">
      <alignment horizontal="right" vertical="center"/>
    </xf>
    <xf numFmtId="9" fontId="42" fillId="0" borderId="34" xfId="1" applyFont="1" applyFill="1" applyBorder="1" applyAlignment="1">
      <alignment horizontal="left"/>
    </xf>
    <xf numFmtId="14" fontId="11" fillId="15" borderId="34" xfId="0" applyNumberFormat="1" applyFont="1" applyFill="1" applyBorder="1" applyAlignment="1">
      <alignment horizontal="left" vertical="center"/>
    </xf>
    <xf numFmtId="9" fontId="16" fillId="15" borderId="30" xfId="1" applyFont="1" applyFill="1" applyBorder="1" applyAlignment="1">
      <alignment horizontal="right" vertical="center"/>
    </xf>
    <xf numFmtId="171" fontId="5" fillId="0" borderId="29" xfId="0" applyNumberFormat="1" applyFont="1" applyBorder="1" applyAlignment="1">
      <alignment vertical="center"/>
    </xf>
    <xf numFmtId="9" fontId="5" fillId="0" borderId="29" xfId="0" applyNumberFormat="1" applyFont="1" applyBorder="1" applyAlignment="1">
      <alignment vertical="center"/>
    </xf>
    <xf numFmtId="169" fontId="5" fillId="0" borderId="29" xfId="0" applyNumberFormat="1" applyFont="1" applyBorder="1" applyAlignment="1">
      <alignment vertical="center"/>
    </xf>
    <xf numFmtId="9" fontId="5" fillId="0" borderId="29" xfId="1" applyFont="1" applyBorder="1" applyAlignment="1">
      <alignment vertical="center"/>
    </xf>
    <xf numFmtId="9" fontId="5" fillId="3" borderId="29" xfId="0" applyNumberFormat="1" applyFont="1" applyFill="1" applyBorder="1" applyAlignment="1">
      <alignment vertical="center"/>
    </xf>
    <xf numFmtId="9" fontId="5" fillId="3" borderId="29" xfId="1" applyFont="1" applyFill="1" applyBorder="1" applyAlignment="1">
      <alignment vertical="center"/>
    </xf>
    <xf numFmtId="171" fontId="11" fillId="0" borderId="29" xfId="0" applyNumberFormat="1" applyFont="1" applyFill="1" applyBorder="1" applyAlignment="1">
      <alignment vertical="center" wrapText="1"/>
    </xf>
    <xf numFmtId="171" fontId="5" fillId="0" borderId="29" xfId="0" applyNumberFormat="1" applyFont="1" applyFill="1" applyBorder="1" applyAlignment="1">
      <alignment vertical="center" wrapText="1"/>
    </xf>
    <xf numFmtId="171" fontId="5" fillId="3" borderId="29" xfId="0" applyNumberFormat="1" applyFont="1" applyFill="1" applyBorder="1" applyAlignment="1">
      <alignment vertical="center"/>
    </xf>
    <xf numFmtId="171" fontId="5" fillId="0" borderId="29" xfId="0" applyNumberFormat="1" applyFont="1" applyFill="1" applyBorder="1" applyAlignment="1">
      <alignment vertical="center"/>
    </xf>
    <xf numFmtId="171" fontId="5" fillId="0" borderId="0" xfId="0" applyNumberFormat="1" applyFont="1" applyAlignment="1">
      <alignment vertical="center"/>
    </xf>
    <xf numFmtId="171" fontId="5" fillId="0" borderId="0" xfId="0" applyNumberFormat="1" applyFont="1" applyBorder="1" applyAlignment="1">
      <alignment vertical="center"/>
    </xf>
    <xf numFmtId="171" fontId="41" fillId="17" borderId="28" xfId="0" applyNumberFormat="1" applyFont="1" applyFill="1" applyBorder="1" applyAlignment="1">
      <alignment horizontal="center" vertical="center"/>
    </xf>
    <xf numFmtId="171" fontId="41" fillId="17" borderId="37" xfId="0" applyNumberFormat="1" applyFont="1" applyFill="1" applyBorder="1" applyAlignment="1">
      <alignment vertical="center"/>
    </xf>
    <xf numFmtId="9" fontId="5" fillId="0" borderId="31" xfId="1" applyFont="1" applyBorder="1" applyAlignment="1">
      <alignment horizontal="right" vertical="center"/>
    </xf>
    <xf numFmtId="167" fontId="16" fillId="0" borderId="31" xfId="1" applyNumberFormat="1" applyFont="1" applyFill="1" applyBorder="1" applyAlignment="1">
      <alignment horizontal="right" vertical="center"/>
    </xf>
    <xf numFmtId="9" fontId="5" fillId="0" borderId="29" xfId="1" applyFont="1" applyBorder="1" applyAlignment="1">
      <alignment horizontal="right" vertical="center"/>
    </xf>
    <xf numFmtId="167" fontId="16" fillId="0" borderId="29" xfId="1" applyNumberFormat="1" applyFont="1" applyFill="1" applyBorder="1" applyAlignment="1">
      <alignment horizontal="right" vertical="center"/>
    </xf>
    <xf numFmtId="166" fontId="5" fillId="0" borderId="30" xfId="0" applyNumberFormat="1" applyFont="1" applyBorder="1" applyAlignment="1">
      <alignment horizontal="right" vertical="center"/>
    </xf>
    <xf numFmtId="14" fontId="40" fillId="15" borderId="35" xfId="0" applyNumberFormat="1" applyFont="1" applyFill="1" applyBorder="1" applyAlignment="1">
      <alignment horizontal="right" vertical="center"/>
    </xf>
    <xf numFmtId="14" fontId="40" fillId="15" borderId="38" xfId="0" applyNumberFormat="1" applyFont="1" applyFill="1" applyBorder="1" applyAlignment="1">
      <alignment horizontal="right" vertical="center"/>
    </xf>
    <xf numFmtId="9" fontId="5" fillId="0" borderId="30" xfId="1" applyFont="1" applyBorder="1" applyAlignment="1">
      <alignment horizontal="right" vertical="center"/>
    </xf>
    <xf numFmtId="14" fontId="11" fillId="15" borderId="34" xfId="0" applyNumberFormat="1" applyFont="1" applyFill="1" applyBorder="1" applyAlignment="1">
      <alignment horizontal="right" vertical="center"/>
    </xf>
    <xf numFmtId="14" fontId="40" fillId="15" borderId="34" xfId="0" applyNumberFormat="1" applyFont="1" applyFill="1" applyBorder="1" applyAlignment="1">
      <alignment horizontal="right" vertical="center"/>
    </xf>
    <xf numFmtId="9" fontId="16" fillId="15" borderId="31" xfId="1" applyFont="1" applyFill="1" applyBorder="1" applyAlignment="1">
      <alignment horizontal="right" vertical="center"/>
    </xf>
    <xf numFmtId="9" fontId="5" fillId="0" borderId="29" xfId="0" applyNumberFormat="1" applyFont="1" applyBorder="1" applyAlignment="1">
      <alignment horizontal="right" vertical="center"/>
    </xf>
    <xf numFmtId="0" fontId="34" fillId="10" borderId="2" xfId="13" applyFont="1" applyFill="1" applyBorder="1" applyAlignment="1">
      <alignment horizontal="left" vertical="top" wrapText="1"/>
    </xf>
    <xf numFmtId="171" fontId="42" fillId="0" borderId="30" xfId="0" applyNumberFormat="1" applyFont="1" applyBorder="1" applyAlignment="1">
      <alignment horizontal="left" vertical="top"/>
    </xf>
    <xf numFmtId="171" fontId="11" fillId="0" borderId="30" xfId="0" applyNumberFormat="1" applyFont="1" applyBorder="1" applyAlignment="1">
      <alignment horizontal="left" vertical="top"/>
    </xf>
    <xf numFmtId="9" fontId="5" fillId="0" borderId="32" xfId="1" applyFont="1" applyBorder="1" applyAlignment="1">
      <alignment horizontal="right" vertical="center"/>
    </xf>
    <xf numFmtId="9" fontId="5" fillId="0" borderId="32" xfId="0" applyNumberFormat="1" applyFont="1" applyBorder="1" applyAlignment="1">
      <alignment horizontal="right" vertical="center"/>
    </xf>
    <xf numFmtId="9" fontId="42" fillId="0" borderId="30" xfId="1" applyFont="1" applyFill="1" applyBorder="1" applyAlignment="1">
      <alignment horizontal="left" wrapText="1"/>
    </xf>
    <xf numFmtId="171" fontId="5" fillId="0" borderId="30" xfId="0" applyNumberFormat="1" applyFont="1" applyBorder="1" applyAlignment="1">
      <alignment horizontal="left" vertical="center"/>
    </xf>
    <xf numFmtId="171" fontId="5" fillId="0" borderId="30" xfId="0" applyNumberFormat="1" applyFont="1" applyBorder="1" applyAlignment="1">
      <alignment vertical="center"/>
    </xf>
    <xf numFmtId="171" fontId="5" fillId="0" borderId="29" xfId="0" applyNumberFormat="1" applyFont="1" applyBorder="1" applyAlignment="1">
      <alignment vertical="top"/>
    </xf>
    <xf numFmtId="0" fontId="6" fillId="0" borderId="5" xfId="0" applyFont="1" applyBorder="1"/>
    <xf numFmtId="0" fontId="6" fillId="0" borderId="39" xfId="0" applyFont="1" applyBorder="1"/>
    <xf numFmtId="0" fontId="6" fillId="2" borderId="3" xfId="0" applyFont="1" applyFill="1" applyBorder="1" applyAlignment="1">
      <alignment horizontal="center" vertical="center"/>
    </xf>
    <xf numFmtId="0" fontId="8" fillId="2" borderId="40" xfId="0" applyFont="1" applyFill="1" applyBorder="1" applyAlignment="1">
      <alignment horizontal="center"/>
    </xf>
    <xf numFmtId="0" fontId="6" fillId="2" borderId="11" xfId="0" applyFont="1" applyFill="1" applyBorder="1"/>
    <xf numFmtId="0" fontId="8" fillId="2" borderId="19" xfId="0" applyFont="1" applyFill="1" applyBorder="1" applyAlignment="1">
      <alignment horizontal="center"/>
    </xf>
    <xf numFmtId="0" fontId="6" fillId="2" borderId="19" xfId="0" applyFont="1" applyFill="1" applyBorder="1" applyAlignment="1">
      <alignment horizontal="center" vertical="center"/>
    </xf>
    <xf numFmtId="3" fontId="5" fillId="0" borderId="29" xfId="0" applyNumberFormat="1" applyFont="1" applyBorder="1" applyAlignment="1">
      <alignment vertical="center"/>
    </xf>
    <xf numFmtId="167" fontId="5" fillId="0" borderId="31" xfId="1" applyNumberFormat="1" applyFont="1" applyBorder="1" applyAlignment="1">
      <alignment horizontal="right" vertical="center"/>
    </xf>
    <xf numFmtId="167" fontId="5" fillId="0" borderId="29" xfId="1" applyNumberFormat="1" applyFont="1" applyBorder="1" applyAlignment="1">
      <alignment horizontal="right" vertical="center"/>
    </xf>
    <xf numFmtId="0" fontId="25" fillId="3" borderId="0" xfId="0" applyFont="1" applyFill="1" applyAlignment="1">
      <alignment horizontal="center" vertical="center" wrapText="1"/>
    </xf>
    <xf numFmtId="0" fontId="24" fillId="0" borderId="0" xfId="0" applyFont="1" applyAlignment="1">
      <alignment vertical="top" wrapText="1"/>
    </xf>
    <xf numFmtId="0" fontId="24" fillId="0" borderId="0" xfId="0" applyFont="1" applyAlignment="1">
      <alignment horizontal="center" vertical="top" wrapText="1"/>
    </xf>
    <xf numFmtId="0" fontId="24" fillId="0" borderId="0" xfId="0" applyFont="1" applyAlignment="1">
      <alignment vertical="top"/>
    </xf>
    <xf numFmtId="0" fontId="5" fillId="0" borderId="29" xfId="0" applyFont="1" applyFill="1" applyBorder="1" applyAlignment="1">
      <alignment horizontal="left" vertical="top" wrapText="1"/>
    </xf>
    <xf numFmtId="171" fontId="11" fillId="0" borderId="29" xfId="0" applyNumberFormat="1" applyFont="1" applyBorder="1" applyAlignment="1"/>
    <xf numFmtId="0" fontId="44" fillId="3" borderId="1" xfId="0" applyFont="1" applyFill="1" applyBorder="1" applyAlignment="1">
      <alignment horizontal="center" vertical="center"/>
    </xf>
    <xf numFmtId="0" fontId="45" fillId="0" borderId="0" xfId="0" applyFont="1"/>
    <xf numFmtId="0" fontId="45" fillId="0" borderId="1" xfId="0" applyFont="1" applyBorder="1"/>
    <xf numFmtId="0" fontId="45" fillId="0" borderId="1" xfId="0" applyFont="1" applyBorder="1" applyAlignment="1">
      <alignment wrapText="1"/>
    </xf>
    <xf numFmtId="0" fontId="45" fillId="0" borderId="0" xfId="0" applyFont="1" applyBorder="1" applyAlignment="1">
      <alignment wrapText="1"/>
    </xf>
    <xf numFmtId="0" fontId="45" fillId="0" borderId="0" xfId="0" applyFont="1" applyBorder="1" applyAlignment="1">
      <alignment horizontal="center" vertical="center"/>
    </xf>
    <xf numFmtId="0" fontId="45" fillId="0" borderId="0" xfId="0" applyFont="1" applyBorder="1"/>
    <xf numFmtId="0" fontId="43" fillId="0" borderId="1" xfId="0" applyFont="1" applyBorder="1" applyAlignment="1">
      <alignment wrapText="1"/>
    </xf>
    <xf numFmtId="0" fontId="44" fillId="3" borderId="2" xfId="0" applyFont="1" applyFill="1" applyBorder="1" applyAlignment="1">
      <alignment horizontal="center" vertical="center"/>
    </xf>
    <xf numFmtId="165" fontId="45" fillId="0" borderId="1" xfId="0" applyNumberFormat="1" applyFont="1" applyBorder="1" applyAlignment="1">
      <alignment horizontal="center" vertical="center"/>
    </xf>
    <xf numFmtId="0" fontId="43" fillId="0" borderId="1" xfId="0" applyFont="1" applyBorder="1" applyAlignment="1">
      <alignment horizontal="left" vertical="top" wrapText="1"/>
    </xf>
    <xf numFmtId="0" fontId="45" fillId="0" borderId="1" xfId="0" applyFont="1" applyBorder="1" applyAlignment="1">
      <alignment horizontal="center" vertical="center" wrapText="1"/>
    </xf>
    <xf numFmtId="1" fontId="45" fillId="0" borderId="1" xfId="0" applyNumberFormat="1" applyFont="1" applyBorder="1" applyAlignment="1">
      <alignment horizontal="center" vertical="center"/>
    </xf>
    <xf numFmtId="9" fontId="45" fillId="0" borderId="1" xfId="1" applyFont="1" applyBorder="1" applyAlignment="1">
      <alignment horizontal="center" vertical="center"/>
    </xf>
    <xf numFmtId="9" fontId="45" fillId="0" borderId="0" xfId="1" applyFont="1" applyBorder="1" applyAlignment="1">
      <alignment horizontal="center" vertical="center"/>
    </xf>
    <xf numFmtId="0" fontId="45" fillId="0" borderId="0" xfId="0" applyFont="1" applyFill="1" applyBorder="1"/>
    <xf numFmtId="0" fontId="45" fillId="0" borderId="0" xfId="0" applyFont="1" applyFill="1" applyBorder="1" applyAlignment="1">
      <alignment horizontal="center" vertical="center"/>
    </xf>
    <xf numFmtId="0" fontId="45" fillId="0" borderId="0" xfId="0" applyFont="1" applyAlignment="1">
      <alignment horizontal="center" vertical="center"/>
    </xf>
    <xf numFmtId="1" fontId="43" fillId="0" borderId="1" xfId="0" applyNumberFormat="1" applyFont="1" applyBorder="1" applyAlignment="1">
      <alignment horizontal="center" vertical="center" wrapText="1"/>
    </xf>
    <xf numFmtId="1" fontId="45" fillId="0" borderId="1" xfId="0" applyNumberFormat="1" applyFont="1" applyBorder="1" applyAlignment="1">
      <alignment horizontal="center" vertical="center" wrapText="1"/>
    </xf>
    <xf numFmtId="0" fontId="46" fillId="0" borderId="1" xfId="0" applyFont="1" applyBorder="1" applyAlignment="1">
      <alignment wrapText="1"/>
    </xf>
    <xf numFmtId="0" fontId="46" fillId="0" borderId="0" xfId="0" applyFont="1" applyBorder="1" applyAlignment="1">
      <alignment wrapText="1"/>
    </xf>
    <xf numFmtId="1" fontId="45" fillId="0" borderId="1" xfId="0" applyNumberFormat="1" applyFont="1" applyBorder="1"/>
    <xf numFmtId="1" fontId="43" fillId="0" borderId="1" xfId="0" applyNumberFormat="1" applyFont="1" applyBorder="1" applyAlignment="1">
      <alignment horizontal="left" vertical="center" wrapText="1"/>
    </xf>
    <xf numFmtId="1" fontId="45" fillId="0" borderId="1" xfId="0" applyNumberFormat="1" applyFont="1" applyBorder="1" applyAlignment="1">
      <alignment horizontal="left" vertical="center" wrapText="1"/>
    </xf>
    <xf numFmtId="0" fontId="5" fillId="0" borderId="1" xfId="0" applyFont="1" applyFill="1" applyBorder="1" applyAlignment="1">
      <alignment vertical="center"/>
    </xf>
    <xf numFmtId="0" fontId="5" fillId="0" borderId="0" xfId="0" applyFont="1" applyFill="1" applyAlignment="1">
      <alignment horizontal="center"/>
    </xf>
    <xf numFmtId="9" fontId="5" fillId="0" borderId="1" xfId="1" applyFont="1" applyFill="1" applyBorder="1" applyAlignment="1">
      <alignment horizontal="center" vertical="center"/>
    </xf>
    <xf numFmtId="3" fontId="5" fillId="0" borderId="1" xfId="12" applyNumberFormat="1" applyFont="1" applyFill="1" applyBorder="1" applyAlignment="1">
      <alignment horizontal="center" vertical="center"/>
    </xf>
    <xf numFmtId="0" fontId="0" fillId="0" borderId="1" xfId="0" applyFont="1" applyFill="1" applyBorder="1" applyAlignment="1">
      <alignment vertical="center"/>
    </xf>
    <xf numFmtId="4" fontId="5" fillId="0" borderId="1" xfId="12" applyNumberFormat="1" applyFont="1" applyFill="1" applyBorder="1" applyAlignment="1">
      <alignment horizontal="center" vertical="center"/>
    </xf>
    <xf numFmtId="0" fontId="0" fillId="0" borderId="1" xfId="0" applyFont="1" applyFill="1" applyBorder="1" applyAlignment="1">
      <alignment horizontal="center" vertical="center"/>
    </xf>
    <xf numFmtId="0" fontId="6" fillId="0" borderId="0" xfId="0" applyFont="1" applyFill="1" applyAlignment="1">
      <alignment horizontal="left" vertical="top" wrapText="1"/>
    </xf>
    <xf numFmtId="0" fontId="16" fillId="15" borderId="32" xfId="16" applyNumberFormat="1" applyFont="1" applyFill="1" applyBorder="1" applyAlignment="1">
      <alignment horizontal="left" vertical="center"/>
    </xf>
    <xf numFmtId="171" fontId="5" fillId="0" borderId="41" xfId="0" applyNumberFormat="1" applyFont="1" applyBorder="1"/>
    <xf numFmtId="1" fontId="5" fillId="0" borderId="32" xfId="1" applyNumberFormat="1" applyFont="1" applyBorder="1" applyAlignment="1">
      <alignment horizontal="right" vertical="center"/>
    </xf>
    <xf numFmtId="9" fontId="5" fillId="0" borderId="0" xfId="1" applyFont="1" applyAlignment="1">
      <alignment horizontal="center" vertical="center"/>
    </xf>
    <xf numFmtId="172" fontId="5" fillId="0" borderId="1" xfId="12"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166" fontId="16" fillId="0" borderId="1" xfId="12" applyNumberFormat="1" applyFont="1" applyFill="1" applyBorder="1" applyAlignment="1">
      <alignment horizontal="center" vertical="center"/>
    </xf>
    <xf numFmtId="2" fontId="7" fillId="0" borderId="1" xfId="12" applyNumberFormat="1" applyFont="1" applyFill="1" applyBorder="1" applyAlignment="1">
      <alignment horizontal="center" vertical="center"/>
    </xf>
    <xf numFmtId="166" fontId="7" fillId="0" borderId="1" xfId="12" applyNumberFormat="1" applyFont="1" applyFill="1" applyBorder="1" applyAlignment="1">
      <alignment horizontal="center" vertical="center"/>
    </xf>
    <xf numFmtId="165" fontId="7" fillId="0" borderId="1" xfId="0" applyNumberFormat="1" applyFont="1" applyBorder="1" applyAlignment="1">
      <alignment horizontal="center" vertical="center" wrapText="1"/>
    </xf>
    <xf numFmtId="165" fontId="7" fillId="0" borderId="1" xfId="0" applyNumberFormat="1" applyFont="1" applyFill="1" applyBorder="1" applyAlignment="1">
      <alignment horizontal="center"/>
    </xf>
    <xf numFmtId="172" fontId="16" fillId="0" borderId="1" xfId="12" applyNumberFormat="1" applyFont="1" applyFill="1" applyBorder="1" applyAlignment="1">
      <alignment horizontal="center" vertical="center"/>
    </xf>
    <xf numFmtId="0" fontId="5" fillId="0" borderId="0" xfId="0" applyFont="1" applyAlignment="1">
      <alignment horizontal="left" vertical="top" wrapText="1"/>
    </xf>
    <xf numFmtId="0" fontId="5" fillId="0" borderId="1" xfId="0" applyFont="1" applyFill="1" applyBorder="1" applyAlignment="1">
      <alignment horizontal="left" vertical="top" wrapText="1"/>
    </xf>
    <xf numFmtId="0" fontId="8" fillId="18" borderId="1" xfId="0" applyFont="1" applyFill="1" applyBorder="1" applyAlignment="1">
      <alignment horizontal="center" vertical="center" wrapText="1"/>
    </xf>
    <xf numFmtId="4" fontId="8" fillId="0" borderId="1" xfId="0" applyNumberFormat="1" applyFont="1" applyBorder="1" applyAlignment="1">
      <alignment horizontal="center" vertical="center" wrapText="1"/>
    </xf>
    <xf numFmtId="4" fontId="6" fillId="0" borderId="1" xfId="0" applyNumberFormat="1" applyFont="1" applyBorder="1" applyAlignment="1">
      <alignment horizontal="center"/>
    </xf>
    <xf numFmtId="0" fontId="5" fillId="0" borderId="0" xfId="0" applyFont="1" applyAlignment="1">
      <alignment horizontal="center"/>
    </xf>
    <xf numFmtId="165" fontId="5" fillId="0" borderId="1" xfId="12" applyNumberFormat="1" applyFont="1" applyFill="1" applyBorder="1" applyAlignment="1">
      <alignment horizontal="center" vertical="center"/>
    </xf>
    <xf numFmtId="0" fontId="16" fillId="0" borderId="2" xfId="0" applyFont="1" applyBorder="1" applyAlignment="1">
      <alignment horizontal="left" vertical="top" wrapText="1"/>
    </xf>
    <xf numFmtId="0" fontId="14" fillId="3" borderId="1" xfId="0" applyFont="1" applyFill="1" applyBorder="1" applyAlignment="1">
      <alignment horizontal="left" vertical="top" wrapText="1"/>
    </xf>
    <xf numFmtId="166" fontId="5" fillId="0" borderId="1" xfId="12" applyNumberFormat="1" applyFont="1" applyFill="1" applyBorder="1" applyAlignment="1">
      <alignment horizontal="left" vertical="center" wrapText="1"/>
    </xf>
    <xf numFmtId="0" fontId="16" fillId="0" borderId="0" xfId="0" applyFont="1" applyAlignment="1">
      <alignment horizontal="left" vertical="top" wrapText="1"/>
    </xf>
    <xf numFmtId="2" fontId="7" fillId="0" borderId="1" xfId="0" applyNumberFormat="1" applyFont="1" applyBorder="1" applyAlignment="1">
      <alignment horizontal="left" vertical="top" wrapText="1"/>
    </xf>
    <xf numFmtId="165" fontId="6" fillId="0" borderId="1" xfId="0" applyNumberFormat="1" applyFont="1" applyFill="1" applyBorder="1" applyAlignment="1">
      <alignment horizontal="center" vertical="center" wrapText="1"/>
    </xf>
    <xf numFmtId="0" fontId="5" fillId="3" borderId="0" xfId="0" applyFont="1" applyFill="1"/>
    <xf numFmtId="0" fontId="6" fillId="0" borderId="1" xfId="0" applyFont="1" applyFill="1" applyBorder="1" applyAlignment="1">
      <alignment horizontal="left" vertical="top" wrapText="1"/>
    </xf>
    <xf numFmtId="0" fontId="6" fillId="9" borderId="1" xfId="0" applyFont="1" applyFill="1" applyBorder="1" applyAlignment="1">
      <alignment horizontal="center" vertical="center"/>
    </xf>
    <xf numFmtId="2" fontId="6" fillId="9" borderId="1" xfId="0" applyNumberFormat="1" applyFont="1" applyFill="1" applyBorder="1" applyAlignment="1">
      <alignment horizontal="center" vertical="center"/>
    </xf>
    <xf numFmtId="165" fontId="6" fillId="9" borderId="1" xfId="0" applyNumberFormat="1" applyFont="1" applyFill="1" applyBorder="1" applyAlignment="1">
      <alignment horizontal="center" vertical="center"/>
    </xf>
    <xf numFmtId="165" fontId="5" fillId="0" borderId="0" xfId="0" applyNumberFormat="1" applyFont="1" applyFill="1" applyBorder="1"/>
    <xf numFmtId="0" fontId="12" fillId="0" borderId="1" xfId="0" applyFont="1" applyBorder="1" applyAlignment="1">
      <alignment horizontal="center"/>
    </xf>
    <xf numFmtId="0" fontId="11" fillId="6" borderId="0" xfId="0" applyFont="1" applyFill="1"/>
    <xf numFmtId="9" fontId="6" fillId="0" borderId="1" xfId="1" applyFont="1" applyFill="1" applyBorder="1" applyAlignment="1">
      <alignment horizontal="center" vertical="center"/>
    </xf>
    <xf numFmtId="0" fontId="12" fillId="6" borderId="1" xfId="0" applyFont="1" applyFill="1" applyBorder="1" applyAlignment="1">
      <alignment wrapText="1"/>
    </xf>
    <xf numFmtId="0" fontId="12" fillId="0" borderId="1" xfId="0" applyFont="1" applyFill="1" applyBorder="1" applyAlignment="1">
      <alignment horizontal="center"/>
    </xf>
    <xf numFmtId="0" fontId="49" fillId="0" borderId="1" xfId="0" applyFont="1" applyFill="1" applyBorder="1" applyAlignment="1">
      <alignment wrapText="1"/>
    </xf>
    <xf numFmtId="9" fontId="12" fillId="0" borderId="1" xfId="0" applyNumberFormat="1" applyFont="1" applyBorder="1" applyAlignment="1">
      <alignment horizontal="center"/>
    </xf>
    <xf numFmtId="165" fontId="12" fillId="0" borderId="1" xfId="0" applyNumberFormat="1" applyFont="1" applyBorder="1" applyAlignment="1">
      <alignment horizontal="center"/>
    </xf>
    <xf numFmtId="0" fontId="11" fillId="0" borderId="0" xfId="0" applyFont="1"/>
    <xf numFmtId="0" fontId="12" fillId="0" borderId="1" xfId="0" applyFont="1" applyBorder="1"/>
    <xf numFmtId="165" fontId="12" fillId="0" borderId="1" xfId="0" applyNumberFormat="1" applyFont="1" applyBorder="1" applyAlignment="1">
      <alignment horizontal="center" vertical="center"/>
    </xf>
    <xf numFmtId="165" fontId="6" fillId="0" borderId="5" xfId="0" applyNumberFormat="1" applyFont="1" applyBorder="1" applyAlignment="1">
      <alignment horizontal="center" vertical="center"/>
    </xf>
    <xf numFmtId="9" fontId="6" fillId="2" borderId="42" xfId="1" applyFont="1" applyFill="1" applyBorder="1" applyAlignment="1">
      <alignment horizontal="center" vertical="center"/>
    </xf>
    <xf numFmtId="0" fontId="6" fillId="2" borderId="43" xfId="0" applyFont="1" applyFill="1" applyBorder="1"/>
    <xf numFmtId="9" fontId="6" fillId="2" borderId="44" xfId="1" applyFont="1" applyFill="1" applyBorder="1" applyAlignment="1">
      <alignment horizontal="center" vertical="center"/>
    </xf>
    <xf numFmtId="0" fontId="6" fillId="2" borderId="45" xfId="0" applyFont="1" applyFill="1" applyBorder="1"/>
    <xf numFmtId="165" fontId="6" fillId="2" borderId="46" xfId="0" applyNumberFormat="1" applyFont="1" applyFill="1" applyBorder="1" applyAlignment="1">
      <alignment horizontal="center" vertical="center"/>
    </xf>
    <xf numFmtId="0" fontId="6" fillId="2" borderId="45" xfId="0" applyFont="1" applyFill="1" applyBorder="1" applyAlignment="1">
      <alignment wrapText="1"/>
    </xf>
    <xf numFmtId="9" fontId="6" fillId="2" borderId="46" xfId="1" applyFont="1" applyFill="1" applyBorder="1" applyAlignment="1">
      <alignment horizontal="center" vertical="center"/>
    </xf>
    <xf numFmtId="0" fontId="6" fillId="2" borderId="47" xfId="0" applyFont="1" applyFill="1" applyBorder="1" applyAlignment="1">
      <alignment wrapText="1"/>
    </xf>
    <xf numFmtId="0" fontId="8" fillId="2" borderId="48" xfId="0" applyFont="1" applyFill="1" applyBorder="1" applyAlignment="1">
      <alignment horizontal="center"/>
    </xf>
    <xf numFmtId="0" fontId="6" fillId="2" borderId="48" xfId="0" applyFont="1" applyFill="1" applyBorder="1" applyAlignment="1">
      <alignment horizontal="center" vertical="center"/>
    </xf>
    <xf numFmtId="9" fontId="6" fillId="2" borderId="49" xfId="1" applyFont="1" applyFill="1" applyBorder="1" applyAlignment="1">
      <alignment horizontal="center" vertical="center"/>
    </xf>
    <xf numFmtId="0" fontId="6" fillId="16" borderId="2" xfId="0" applyFont="1" applyFill="1" applyBorder="1" applyAlignment="1">
      <alignment horizontal="center"/>
    </xf>
    <xf numFmtId="0" fontId="4" fillId="16" borderId="10" xfId="0" applyFont="1" applyFill="1" applyBorder="1" applyAlignment="1">
      <alignment horizontal="center"/>
    </xf>
    <xf numFmtId="165" fontId="6" fillId="16" borderId="10" xfId="0" applyNumberFormat="1" applyFont="1" applyFill="1" applyBorder="1" applyAlignment="1">
      <alignment horizontal="center"/>
    </xf>
    <xf numFmtId="165" fontId="6" fillId="16" borderId="5" xfId="0" applyNumberFormat="1" applyFont="1" applyFill="1" applyBorder="1" applyAlignment="1">
      <alignment horizontal="center"/>
    </xf>
    <xf numFmtId="165" fontId="6" fillId="16" borderId="1" xfId="0" applyNumberFormat="1" applyFont="1" applyFill="1" applyBorder="1" applyAlignment="1">
      <alignment horizontal="center"/>
    </xf>
    <xf numFmtId="0" fontId="6" fillId="16" borderId="1" xfId="0" applyFont="1" applyFill="1" applyBorder="1" applyAlignment="1">
      <alignment horizontal="center"/>
    </xf>
    <xf numFmtId="0" fontId="50" fillId="16" borderId="9" xfId="0" applyFont="1" applyFill="1" applyBorder="1" applyAlignment="1">
      <alignment vertical="center" wrapText="1"/>
    </xf>
    <xf numFmtId="0" fontId="50" fillId="16" borderId="1" xfId="0" applyFont="1" applyFill="1" applyBorder="1" applyAlignment="1">
      <alignment horizontal="left" vertical="center" wrapText="1"/>
    </xf>
    <xf numFmtId="0" fontId="10" fillId="16" borderId="1" xfId="0" applyFont="1" applyFill="1" applyBorder="1" applyAlignment="1">
      <alignment horizontal="center"/>
    </xf>
    <xf numFmtId="0" fontId="4" fillId="16" borderId="1" xfId="0" applyFont="1" applyFill="1" applyBorder="1" applyAlignment="1">
      <alignment horizontal="center"/>
    </xf>
    <xf numFmtId="0" fontId="50" fillId="16" borderId="1" xfId="0" applyFont="1" applyFill="1" applyBorder="1"/>
    <xf numFmtId="0" fontId="51" fillId="16" borderId="1" xfId="0" applyFont="1" applyFill="1" applyBorder="1" applyAlignment="1">
      <alignment horizontal="center"/>
    </xf>
    <xf numFmtId="0" fontId="52" fillId="16" borderId="1" xfId="0" applyFont="1" applyFill="1" applyBorder="1" applyAlignment="1">
      <alignment horizontal="center"/>
    </xf>
    <xf numFmtId="0" fontId="50" fillId="16" borderId="1" xfId="0" applyFont="1" applyFill="1" applyBorder="1" applyAlignment="1">
      <alignment horizontal="left" vertical="center"/>
    </xf>
    <xf numFmtId="0" fontId="51" fillId="16" borderId="1" xfId="0" applyFont="1" applyFill="1" applyBorder="1" applyAlignment="1">
      <alignment horizontal="left" vertical="center"/>
    </xf>
    <xf numFmtId="0" fontId="52" fillId="16" borderId="1" xfId="0" applyFont="1" applyFill="1" applyBorder="1" applyAlignment="1">
      <alignment horizontal="left" vertical="center"/>
    </xf>
    <xf numFmtId="165" fontId="52" fillId="16" borderId="1" xfId="0" applyNumberFormat="1" applyFont="1" applyFill="1" applyBorder="1" applyAlignment="1">
      <alignment horizontal="left" vertical="center"/>
    </xf>
    <xf numFmtId="165" fontId="52" fillId="16" borderId="4" xfId="0" applyNumberFormat="1" applyFont="1" applyFill="1" applyBorder="1" applyAlignment="1">
      <alignment horizontal="left" vertical="center"/>
    </xf>
    <xf numFmtId="165" fontId="4" fillId="0" borderId="0" xfId="0" applyNumberFormat="1" applyFont="1" applyFill="1" applyBorder="1" applyAlignment="1">
      <alignment horizontal="center"/>
    </xf>
    <xf numFmtId="0" fontId="6" fillId="4" borderId="1" xfId="0" applyFont="1" applyFill="1" applyBorder="1" applyAlignment="1">
      <alignment horizontal="center"/>
    </xf>
    <xf numFmtId="165" fontId="10" fillId="16" borderId="1" xfId="0" applyNumberFormat="1" applyFont="1" applyFill="1" applyBorder="1" applyAlignment="1">
      <alignment horizontal="center"/>
    </xf>
    <xf numFmtId="165" fontId="51" fillId="16" borderId="1" xfId="0" applyNumberFormat="1" applyFont="1" applyFill="1" applyBorder="1" applyAlignment="1">
      <alignment horizontal="center"/>
    </xf>
    <xf numFmtId="0" fontId="50" fillId="16" borderId="0" xfId="0" applyFont="1" applyFill="1"/>
    <xf numFmtId="0" fontId="6" fillId="16" borderId="0" xfId="0" applyFont="1" applyFill="1"/>
    <xf numFmtId="0" fontId="6" fillId="16" borderId="0" xfId="0" applyFont="1" applyFill="1" applyAlignment="1">
      <alignment horizontal="center"/>
    </xf>
    <xf numFmtId="9" fontId="6" fillId="9" borderId="1" xfId="0" applyNumberFormat="1" applyFont="1" applyFill="1" applyBorder="1" applyAlignment="1">
      <alignment horizontal="center" vertical="center" wrapText="1"/>
    </xf>
    <xf numFmtId="0" fontId="50" fillId="16" borderId="4" xfId="0" applyFont="1" applyFill="1" applyBorder="1" applyAlignment="1"/>
    <xf numFmtId="0" fontId="6" fillId="16" borderId="1" xfId="0" applyFont="1" applyFill="1" applyBorder="1"/>
    <xf numFmtId="0" fontId="8" fillId="16" borderId="1" xfId="0" applyFont="1" applyFill="1" applyBorder="1" applyAlignment="1">
      <alignment horizontal="center" vertical="center" wrapText="1"/>
    </xf>
    <xf numFmtId="0" fontId="50" fillId="4" borderId="4" xfId="0" applyFont="1" applyFill="1" applyBorder="1" applyAlignment="1"/>
    <xf numFmtId="0" fontId="47" fillId="16" borderId="0" xfId="0" applyFont="1" applyFill="1"/>
    <xf numFmtId="0" fontId="47" fillId="16" borderId="1" xfId="0" applyFont="1" applyFill="1" applyBorder="1"/>
    <xf numFmtId="0" fontId="48" fillId="16" borderId="1" xfId="0" applyFont="1" applyFill="1" applyBorder="1" applyAlignment="1">
      <alignment horizontal="center" vertical="center" wrapText="1"/>
    </xf>
    <xf numFmtId="0" fontId="47" fillId="16" borderId="1" xfId="0" applyFont="1" applyFill="1" applyBorder="1" applyAlignment="1">
      <alignment horizontal="center"/>
    </xf>
    <xf numFmtId="0" fontId="6" fillId="4" borderId="1" xfId="0" applyFont="1" applyFill="1" applyBorder="1"/>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6" fillId="4" borderId="3" xfId="0" applyFont="1" applyFill="1" applyBorder="1" applyAlignment="1">
      <alignment horizontal="center"/>
    </xf>
    <xf numFmtId="0" fontId="6" fillId="4" borderId="3" xfId="0" applyFont="1" applyFill="1" applyBorder="1"/>
    <xf numFmtId="0" fontId="8" fillId="4" borderId="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6" fillId="4" borderId="19" xfId="0" applyFont="1" applyFill="1" applyBorder="1" applyAlignment="1">
      <alignment horizontal="center"/>
    </xf>
    <xf numFmtId="0" fontId="6" fillId="4" borderId="19" xfId="0" applyFont="1" applyFill="1" applyBorder="1"/>
    <xf numFmtId="166" fontId="6" fillId="4" borderId="1" xfId="12" applyNumberFormat="1" applyFont="1" applyFill="1" applyBorder="1" applyAlignment="1">
      <alignment horizontal="center" vertical="center"/>
    </xf>
    <xf numFmtId="166" fontId="6" fillId="4" borderId="1" xfId="12" applyNumberFormat="1" applyFont="1" applyFill="1" applyBorder="1" applyAlignment="1">
      <alignment horizontal="center"/>
    </xf>
    <xf numFmtId="9" fontId="8" fillId="4" borderId="1" xfId="1" applyFont="1" applyFill="1" applyBorder="1" applyAlignment="1">
      <alignment horizontal="center" vertical="center" wrapText="1"/>
    </xf>
    <xf numFmtId="166" fontId="6" fillId="16" borderId="1" xfId="12" applyNumberFormat="1" applyFont="1" applyFill="1" applyBorder="1" applyAlignment="1">
      <alignment horizontal="center"/>
    </xf>
    <xf numFmtId="9" fontId="8" fillId="16" borderId="1" xfId="1" applyFont="1" applyFill="1" applyBorder="1" applyAlignment="1">
      <alignment horizontal="center" vertical="center" wrapText="1"/>
    </xf>
    <xf numFmtId="0" fontId="47" fillId="4" borderId="0" xfId="0" applyFont="1" applyFill="1"/>
    <xf numFmtId="0" fontId="47" fillId="4" borderId="1" xfId="0" applyFont="1" applyFill="1" applyBorder="1" applyAlignment="1">
      <alignment horizontal="center" vertical="center"/>
    </xf>
    <xf numFmtId="0" fontId="47" fillId="4" borderId="1" xfId="0" applyFont="1" applyFill="1" applyBorder="1"/>
    <xf numFmtId="9" fontId="9" fillId="4" borderId="1" xfId="0" applyNumberFormat="1" applyFont="1" applyFill="1" applyBorder="1" applyAlignment="1">
      <alignment horizontal="center" vertical="center"/>
    </xf>
    <xf numFmtId="0" fontId="50" fillId="16" borderId="3" xfId="0" applyFont="1" applyFill="1" applyBorder="1" applyAlignment="1">
      <alignment horizontal="left" wrapText="1"/>
    </xf>
    <xf numFmtId="0" fontId="47" fillId="16" borderId="3" xfId="0" applyFont="1" applyFill="1" applyBorder="1" applyAlignment="1">
      <alignment horizontal="center"/>
    </xf>
    <xf numFmtId="2" fontId="47" fillId="16" borderId="3" xfId="0" applyNumberFormat="1" applyFont="1" applyFill="1" applyBorder="1" applyAlignment="1">
      <alignment horizontal="center"/>
    </xf>
    <xf numFmtId="0" fontId="45" fillId="0" borderId="1" xfId="0" applyFont="1" applyBorder="1" applyAlignment="1">
      <alignment horizontal="left" vertical="top" wrapText="1"/>
    </xf>
    <xf numFmtId="165" fontId="45" fillId="0" borderId="1" xfId="0" applyNumberFormat="1" applyFont="1" applyBorder="1" applyAlignment="1">
      <alignment horizontal="center" vertical="center" wrapText="1"/>
    </xf>
    <xf numFmtId="0" fontId="9" fillId="4" borderId="0" xfId="0" applyFont="1" applyFill="1" applyAlignment="1">
      <alignment horizontal="left" wrapText="1"/>
    </xf>
    <xf numFmtId="0" fontId="14" fillId="11" borderId="0" xfId="0" applyFont="1" applyFill="1" applyAlignment="1">
      <alignment horizontal="center" vertical="top"/>
    </xf>
    <xf numFmtId="0" fontId="25" fillId="3" borderId="0" xfId="0" applyFont="1" applyFill="1" applyAlignment="1">
      <alignment horizontal="center" vertical="center" wrapText="1"/>
    </xf>
    <xf numFmtId="0" fontId="24" fillId="0" borderId="0" xfId="0" applyFont="1" applyAlignment="1">
      <alignment vertical="top" wrapText="1"/>
    </xf>
    <xf numFmtId="0" fontId="24" fillId="0" borderId="0" xfId="0" applyFont="1" applyAlignment="1">
      <alignment horizontal="center" vertical="top" wrapText="1"/>
    </xf>
    <xf numFmtId="0" fontId="25" fillId="3" borderId="0" xfId="0" applyFont="1" applyFill="1" applyAlignment="1">
      <alignment horizontal="center" vertical="top" wrapText="1"/>
    </xf>
    <xf numFmtId="0" fontId="24" fillId="0" borderId="0" xfId="0" applyFont="1" applyAlignment="1">
      <alignment vertical="top"/>
    </xf>
    <xf numFmtId="39" fontId="14" fillId="16" borderId="27" xfId="15" applyNumberFormat="1" applyFont="1" applyFill="1" applyBorder="1" applyAlignment="1">
      <alignment horizontal="left" vertical="top"/>
    </xf>
    <xf numFmtId="39" fontId="14" fillId="16" borderId="0" xfId="15" applyNumberFormat="1" applyFont="1" applyFill="1" applyBorder="1" applyAlignment="1">
      <alignment horizontal="left" vertical="top"/>
    </xf>
    <xf numFmtId="0" fontId="43" fillId="0" borderId="4" xfId="0" applyFont="1" applyBorder="1" applyAlignment="1">
      <alignment horizontal="left" vertical="top" wrapText="1"/>
    </xf>
    <xf numFmtId="0" fontId="43" fillId="0" borderId="5" xfId="0" applyFont="1" applyBorder="1" applyAlignment="1">
      <alignment horizontal="left" vertical="top" wrapText="1"/>
    </xf>
    <xf numFmtId="0" fontId="36" fillId="0" borderId="0" xfId="0" applyFont="1" applyAlignment="1">
      <alignment horizontal="left" vertical="top" wrapText="1"/>
    </xf>
    <xf numFmtId="10" fontId="24" fillId="0" borderId="0" xfId="0" applyNumberFormat="1" applyFont="1" applyAlignment="1">
      <alignment horizontal="left" vertical="top" wrapText="1"/>
    </xf>
  </cellXfs>
  <cellStyles count="18">
    <cellStyle name="Comma_Axmann Utopia toolbox all_in_one" xfId="16"/>
    <cellStyle name="Percent 2" xfId="17"/>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3" builtinId="8"/>
    <cellStyle name="Заголовок 1" xfId="15" builtinId="16"/>
    <cellStyle name="Обычный" xfId="0" builtinId="0"/>
    <cellStyle name="Обычный 2" xfId="14"/>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Процентный" xfId="1" builtinId="5"/>
    <cellStyle name="Финансовый" xfId="12" builtinId="3"/>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Темпы замещения старой жилой застройки новой жилой застройкой, тыс. кв. м</a:t>
            </a:r>
          </a:p>
        </c:rich>
      </c:tx>
      <c:overlay val="0"/>
    </c:title>
    <c:autoTitleDeleted val="0"/>
    <c:plotArea>
      <c:layout/>
      <c:barChart>
        <c:barDir val="col"/>
        <c:grouping val="stacked"/>
        <c:varyColors val="0"/>
        <c:ser>
          <c:idx val="0"/>
          <c:order val="0"/>
          <c:tx>
            <c:strRef>
              <c:f>Графики!$A$14</c:f>
              <c:strCache>
                <c:ptCount val="1"/>
                <c:pt idx="0">
                  <c:v>Новая жилая застройка (МКД)</c:v>
                </c:pt>
              </c:strCache>
            </c:strRef>
          </c:tx>
          <c:invertIfNegative val="0"/>
          <c:cat>
            <c:numRef>
              <c:f>Графики!$B$13:$L$13</c:f>
              <c:numCache>
                <c:formatCode>General</c:formatCode>
                <c:ptCount val="11"/>
                <c:pt idx="0">
                  <c:v>2021</c:v>
                </c:pt>
                <c:pt idx="1">
                  <c:v>2022</c:v>
                </c:pt>
                <c:pt idx="2">
                  <c:v>2023</c:v>
                </c:pt>
                <c:pt idx="3">
                  <c:v>2024</c:v>
                </c:pt>
                <c:pt idx="4">
                  <c:v>2025</c:v>
                </c:pt>
                <c:pt idx="5">
                  <c:v>2026</c:v>
                </c:pt>
                <c:pt idx="6">
                  <c:v>2027</c:v>
                </c:pt>
                <c:pt idx="7">
                  <c:v>2028</c:v>
                </c:pt>
                <c:pt idx="8">
                  <c:v>2029</c:v>
                </c:pt>
                <c:pt idx="9">
                  <c:v>2030</c:v>
                </c:pt>
                <c:pt idx="10">
                  <c:v>2031</c:v>
                </c:pt>
              </c:numCache>
            </c:numRef>
          </c:cat>
          <c:val>
            <c:numRef>
              <c:f>Графики!$B$14:$L$14</c:f>
              <c:numCache>
                <c:formatCode>0.0</c:formatCode>
                <c:ptCount val="11"/>
                <c:pt idx="0">
                  <c:v>0</c:v>
                </c:pt>
                <c:pt idx="1">
                  <c:v>0</c:v>
                </c:pt>
                <c:pt idx="2">
                  <c:v>0</c:v>
                </c:pt>
                <c:pt idx="3">
                  <c:v>0</c:v>
                </c:pt>
                <c:pt idx="4">
                  <c:v>12.24</c:v>
                </c:pt>
                <c:pt idx="5">
                  <c:v>24.48</c:v>
                </c:pt>
                <c:pt idx="6">
                  <c:v>36.72</c:v>
                </c:pt>
                <c:pt idx="7">
                  <c:v>48.96</c:v>
                </c:pt>
                <c:pt idx="8">
                  <c:v>61.2</c:v>
                </c:pt>
                <c:pt idx="9">
                  <c:v>73.44</c:v>
                </c:pt>
                <c:pt idx="10">
                  <c:v>73.44</c:v>
                </c:pt>
              </c:numCache>
            </c:numRef>
          </c:val>
          <c:extLst xmlns:c16r2="http://schemas.microsoft.com/office/drawing/2015/06/chart">
            <c:ext xmlns:c16="http://schemas.microsoft.com/office/drawing/2014/chart" uri="{C3380CC4-5D6E-409C-BE32-E72D297353CC}">
              <c16:uniqueId val="{00000000-621E-4198-90AE-1B2861C0DB19}"/>
            </c:ext>
          </c:extLst>
        </c:ser>
        <c:ser>
          <c:idx val="1"/>
          <c:order val="1"/>
          <c:tx>
            <c:strRef>
              <c:f>Графики!$A$15</c:f>
              <c:strCache>
                <c:ptCount val="1"/>
                <c:pt idx="0">
                  <c:v>Сносимая жилая застройка</c:v>
                </c:pt>
              </c:strCache>
            </c:strRef>
          </c:tx>
          <c:invertIfNegative val="0"/>
          <c:cat>
            <c:numRef>
              <c:f>Графики!$B$13:$L$13</c:f>
              <c:numCache>
                <c:formatCode>General</c:formatCode>
                <c:ptCount val="11"/>
                <c:pt idx="0">
                  <c:v>2021</c:v>
                </c:pt>
                <c:pt idx="1">
                  <c:v>2022</c:v>
                </c:pt>
                <c:pt idx="2">
                  <c:v>2023</c:v>
                </c:pt>
                <c:pt idx="3">
                  <c:v>2024</c:v>
                </c:pt>
                <c:pt idx="4">
                  <c:v>2025</c:v>
                </c:pt>
                <c:pt idx="5">
                  <c:v>2026</c:v>
                </c:pt>
                <c:pt idx="6">
                  <c:v>2027</c:v>
                </c:pt>
                <c:pt idx="7">
                  <c:v>2028</c:v>
                </c:pt>
                <c:pt idx="8">
                  <c:v>2029</c:v>
                </c:pt>
                <c:pt idx="9">
                  <c:v>2030</c:v>
                </c:pt>
                <c:pt idx="10">
                  <c:v>2031</c:v>
                </c:pt>
              </c:numCache>
            </c:numRef>
          </c:cat>
          <c:val>
            <c:numRef>
              <c:f>Графики!$B$15:$L$15</c:f>
              <c:numCache>
                <c:formatCode>0.0</c:formatCode>
                <c:ptCount val="11"/>
                <c:pt idx="0">
                  <c:v>10</c:v>
                </c:pt>
                <c:pt idx="1">
                  <c:v>8.64</c:v>
                </c:pt>
                <c:pt idx="2">
                  <c:v>0</c:v>
                </c:pt>
                <c:pt idx="3">
                  <c:v>0</c:v>
                </c:pt>
                <c:pt idx="4">
                  <c:v>0</c:v>
                </c:pt>
                <c:pt idx="5">
                  <c:v>1.3599999999999994</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1-621E-4198-90AE-1B2861C0DB19}"/>
            </c:ext>
          </c:extLst>
        </c:ser>
        <c:dLbls>
          <c:showLegendKey val="0"/>
          <c:showVal val="0"/>
          <c:showCatName val="0"/>
          <c:showSerName val="0"/>
          <c:showPercent val="0"/>
          <c:showBubbleSize val="0"/>
        </c:dLbls>
        <c:gapWidth val="150"/>
        <c:overlap val="100"/>
        <c:axId val="230305552"/>
        <c:axId val="230299392"/>
      </c:barChart>
      <c:catAx>
        <c:axId val="230305552"/>
        <c:scaling>
          <c:orientation val="minMax"/>
        </c:scaling>
        <c:delete val="0"/>
        <c:axPos val="b"/>
        <c:numFmt formatCode="General" sourceLinked="1"/>
        <c:majorTickMark val="out"/>
        <c:minorTickMark val="none"/>
        <c:tickLblPos val="nextTo"/>
        <c:crossAx val="230299392"/>
        <c:crosses val="autoZero"/>
        <c:auto val="1"/>
        <c:lblAlgn val="ctr"/>
        <c:lblOffset val="100"/>
        <c:noMultiLvlLbl val="0"/>
      </c:catAx>
      <c:valAx>
        <c:axId val="230299392"/>
        <c:scaling>
          <c:orientation val="minMax"/>
        </c:scaling>
        <c:delete val="0"/>
        <c:axPos val="l"/>
        <c:majorGridlines/>
        <c:numFmt formatCode="0.0" sourceLinked="1"/>
        <c:majorTickMark val="out"/>
        <c:minorTickMark val="none"/>
        <c:tickLblPos val="nextTo"/>
        <c:crossAx val="230305552"/>
        <c:crosses val="autoZero"/>
        <c:crossBetween val="between"/>
      </c:valAx>
    </c:plotArea>
    <c:legend>
      <c:legendPos val="b"/>
      <c:overlay val="0"/>
    </c:legend>
    <c:plotVisOnly val="1"/>
    <c:dispBlanksAs val="gap"/>
    <c:showDLblsOverMax val="0"/>
  </c:chart>
  <c:txPr>
    <a:bodyPr/>
    <a:lstStyle/>
    <a:p>
      <a:pPr>
        <a:defRPr sz="14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Графики!$A$132</c:f>
              <c:strCache>
                <c:ptCount val="1"/>
                <c:pt idx="0">
                  <c:v>Стоимость зданий, инфраструктуры, благоустройства</c:v>
                </c:pt>
              </c:strCache>
            </c:strRef>
          </c:tx>
          <c:invertIfNegative val="0"/>
          <c:cat>
            <c:numRef>
              <c:f>Графики!$B$131:$K$131</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Графики!$B$132:$K$132</c:f>
              <c:numCache>
                <c:formatCode>0</c:formatCode>
                <c:ptCount val="10"/>
                <c:pt idx="0">
                  <c:v>0</c:v>
                </c:pt>
                <c:pt idx="1">
                  <c:v>14.807432418803575</c:v>
                </c:pt>
                <c:pt idx="2">
                  <c:v>30.799459431111437</c:v>
                </c:pt>
                <c:pt idx="3">
                  <c:v>841.23515671253392</c:v>
                </c:pt>
                <c:pt idx="4">
                  <c:v>841.23515671253381</c:v>
                </c:pt>
                <c:pt idx="5">
                  <c:v>843.15704298103526</c:v>
                </c:pt>
                <c:pt idx="6">
                  <c:v>843.15704298103526</c:v>
                </c:pt>
                <c:pt idx="7">
                  <c:v>827.83320313351783</c:v>
                </c:pt>
                <c:pt idx="8">
                  <c:v>811.20350562942929</c:v>
                </c:pt>
                <c:pt idx="9">
                  <c:v>574.20000000000005</c:v>
                </c:pt>
              </c:numCache>
            </c:numRef>
          </c:val>
          <c:extLst xmlns:c16r2="http://schemas.microsoft.com/office/drawing/2015/06/chart">
            <c:ext xmlns:c16="http://schemas.microsoft.com/office/drawing/2014/chart" uri="{C3380CC4-5D6E-409C-BE32-E72D297353CC}">
              <c16:uniqueId val="{00000000-31AA-4F93-BB24-BDFA0104FB2C}"/>
            </c:ext>
          </c:extLst>
        </c:ser>
        <c:ser>
          <c:idx val="1"/>
          <c:order val="1"/>
          <c:tx>
            <c:strRef>
              <c:f>Графики!$A$133</c:f>
              <c:strCache>
                <c:ptCount val="1"/>
                <c:pt idx="0">
                  <c:v>Расходы на выкуп жилья и нежилых помещений</c:v>
                </c:pt>
              </c:strCache>
            </c:strRef>
          </c:tx>
          <c:invertIfNegative val="0"/>
          <c:cat>
            <c:numRef>
              <c:f>Графики!$B$131:$K$131</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Графики!$B$133:$E$133</c:f>
              <c:numCache>
                <c:formatCode>0</c:formatCode>
                <c:ptCount val="4"/>
                <c:pt idx="0">
                  <c:v>402.75076923076927</c:v>
                </c:pt>
                <c:pt idx="1">
                  <c:v>0</c:v>
                </c:pt>
                <c:pt idx="2">
                  <c:v>0</c:v>
                </c:pt>
                <c:pt idx="3">
                  <c:v>0</c:v>
                </c:pt>
              </c:numCache>
            </c:numRef>
          </c:val>
          <c:extLst xmlns:c16r2="http://schemas.microsoft.com/office/drawing/2015/06/chart">
            <c:ext xmlns:c16="http://schemas.microsoft.com/office/drawing/2014/chart" uri="{C3380CC4-5D6E-409C-BE32-E72D297353CC}">
              <c16:uniqueId val="{00000001-31AA-4F93-BB24-BDFA0104FB2C}"/>
            </c:ext>
          </c:extLst>
        </c:ser>
        <c:ser>
          <c:idx val="2"/>
          <c:order val="2"/>
          <c:tx>
            <c:strRef>
              <c:f>Графики!$A$134</c:f>
              <c:strCache>
                <c:ptCount val="1"/>
                <c:pt idx="0">
                  <c:v>Расходы на предоставление жилья переселенцам (по эквиваленту рыночной цены)</c:v>
                </c:pt>
              </c:strCache>
            </c:strRef>
          </c:tx>
          <c:invertIfNegative val="0"/>
          <c:cat>
            <c:numRef>
              <c:f>Графики!$B$131:$K$131</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Графики!$B$134:$K$134</c:f>
              <c:numCache>
                <c:formatCode>0</c:formatCode>
                <c:ptCount val="10"/>
                <c:pt idx="0">
                  <c:v>603.74400000000003</c:v>
                </c:pt>
                <c:pt idx="1">
                  <c:v>0</c:v>
                </c:pt>
                <c:pt idx="2">
                  <c:v>0</c:v>
                </c:pt>
                <c:pt idx="3">
                  <c:v>58.732799999999983</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31AA-4F93-BB24-BDFA0104FB2C}"/>
            </c:ext>
          </c:extLst>
        </c:ser>
        <c:ser>
          <c:idx val="3"/>
          <c:order val="3"/>
          <c:tx>
            <c:strRef>
              <c:f>Графики!$A$135</c:f>
              <c:strCache>
                <c:ptCount val="1"/>
                <c:pt idx="0">
                  <c:v>Налоги (НДС, налог на прибыль)</c:v>
                </c:pt>
              </c:strCache>
            </c:strRef>
          </c:tx>
          <c:invertIfNegative val="0"/>
          <c:cat>
            <c:numRef>
              <c:f>Графики!$B$131:$K$131</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Графики!$B$135:$E$135</c:f>
              <c:numCache>
                <c:formatCode>0</c:formatCode>
                <c:ptCount val="4"/>
                <c:pt idx="0">
                  <c:v>96.153846153846146</c:v>
                </c:pt>
                <c:pt idx="1">
                  <c:v>0</c:v>
                </c:pt>
                <c:pt idx="2">
                  <c:v>0</c:v>
                </c:pt>
                <c:pt idx="3">
                  <c:v>0</c:v>
                </c:pt>
              </c:numCache>
            </c:numRef>
          </c:val>
          <c:extLst xmlns:c16r2="http://schemas.microsoft.com/office/drawing/2015/06/chart">
            <c:ext xmlns:c16="http://schemas.microsoft.com/office/drawing/2014/chart" uri="{C3380CC4-5D6E-409C-BE32-E72D297353CC}">
              <c16:uniqueId val="{00000003-31AA-4F93-BB24-BDFA0104FB2C}"/>
            </c:ext>
          </c:extLst>
        </c:ser>
        <c:ser>
          <c:idx val="4"/>
          <c:order val="4"/>
          <c:tx>
            <c:strRef>
              <c:f>Графики!$A$136</c:f>
              <c:strCache>
                <c:ptCount val="1"/>
                <c:pt idx="0">
                  <c:v>Чистая максимальная прибыль от реализации проекта с учетом упущенной выгоды</c:v>
                </c:pt>
              </c:strCache>
            </c:strRef>
          </c:tx>
          <c:invertIfNegative val="0"/>
          <c:cat>
            <c:numRef>
              <c:f>Графики!$B$131:$K$131</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Графики!$B$136:$E$136</c:f>
              <c:numCache>
                <c:formatCode>0</c:formatCode>
                <c:ptCount val="4"/>
                <c:pt idx="0">
                  <c:v>-1102.6486153846154</c:v>
                </c:pt>
                <c:pt idx="1">
                  <c:v>-14.807432418803575</c:v>
                </c:pt>
                <c:pt idx="2">
                  <c:v>-30.799459431111437</c:v>
                </c:pt>
                <c:pt idx="3">
                  <c:v>626.54004328746589</c:v>
                </c:pt>
              </c:numCache>
            </c:numRef>
          </c:val>
          <c:extLst xmlns:c16r2="http://schemas.microsoft.com/office/drawing/2015/06/chart">
            <c:ext xmlns:c16="http://schemas.microsoft.com/office/drawing/2014/chart" uri="{C3380CC4-5D6E-409C-BE32-E72D297353CC}">
              <c16:uniqueId val="{00000004-31AA-4F93-BB24-BDFA0104FB2C}"/>
            </c:ext>
          </c:extLst>
        </c:ser>
        <c:dLbls>
          <c:showLegendKey val="0"/>
          <c:showVal val="0"/>
          <c:showCatName val="0"/>
          <c:showSerName val="0"/>
          <c:showPercent val="0"/>
          <c:showBubbleSize val="0"/>
        </c:dLbls>
        <c:gapWidth val="150"/>
        <c:overlap val="100"/>
        <c:axId val="273354016"/>
        <c:axId val="273354576"/>
      </c:barChart>
      <c:catAx>
        <c:axId val="273354016"/>
        <c:scaling>
          <c:orientation val="minMax"/>
        </c:scaling>
        <c:delete val="0"/>
        <c:axPos val="b"/>
        <c:numFmt formatCode="General" sourceLinked="1"/>
        <c:majorTickMark val="out"/>
        <c:minorTickMark val="none"/>
        <c:tickLblPos val="nextTo"/>
        <c:crossAx val="273354576"/>
        <c:crosses val="autoZero"/>
        <c:auto val="1"/>
        <c:lblAlgn val="ctr"/>
        <c:lblOffset val="100"/>
        <c:noMultiLvlLbl val="0"/>
      </c:catAx>
      <c:valAx>
        <c:axId val="273354576"/>
        <c:scaling>
          <c:orientation val="minMax"/>
        </c:scaling>
        <c:delete val="0"/>
        <c:axPos val="l"/>
        <c:majorGridlines/>
        <c:numFmt formatCode="0" sourceLinked="1"/>
        <c:majorTickMark val="out"/>
        <c:minorTickMark val="none"/>
        <c:tickLblPos val="nextTo"/>
        <c:crossAx val="273354016"/>
        <c:crosses val="autoZero"/>
        <c:crossBetween val="between"/>
      </c:valAx>
    </c:plotArea>
    <c:legend>
      <c:legendPos val="r"/>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3"/>
          <c:order val="0"/>
          <c:tx>
            <c:strRef>
              <c:f>Графики!$A$47</c:f>
              <c:strCache>
                <c:ptCount val="1"/>
                <c:pt idx="0">
                  <c:v>Затраты на снос</c:v>
                </c:pt>
              </c:strCache>
            </c:strRef>
          </c:tx>
          <c:spPr>
            <a:solidFill>
              <a:schemeClr val="accent2">
                <a:lumMod val="80000"/>
                <a:lumOff val="2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Графики!$B$47:$K$47</c:f>
              <c:numCache>
                <c:formatCode>0.0</c:formatCode>
                <c:ptCount val="10"/>
                <c:pt idx="0">
                  <c:v>13.977600000000002</c:v>
                </c:pt>
                <c:pt idx="1">
                  <c:v>0</c:v>
                </c:pt>
                <c:pt idx="2">
                  <c:v>0</c:v>
                </c:pt>
                <c:pt idx="3">
                  <c:v>0</c:v>
                </c:pt>
                <c:pt idx="4">
                  <c:v>2.4819719208959992</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8A5A-A246-9160-007FEC9434F1}"/>
            </c:ext>
          </c:extLst>
        </c:ser>
        <c:ser>
          <c:idx val="0"/>
          <c:order val="1"/>
          <c:tx>
            <c:strRef>
              <c:f>Графики!$A$48</c:f>
              <c:strCache>
                <c:ptCount val="1"/>
                <c:pt idx="0">
                  <c:v>СМР (жилищное строительство)</c:v>
                </c:pt>
              </c:strCache>
            </c:strRef>
          </c:tx>
          <c:spPr>
            <a:solidFill>
              <a:schemeClr val="accent1"/>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Графики!$B$48:$K$48</c:f>
              <c:numCache>
                <c:formatCode>0.0</c:formatCode>
                <c:ptCount val="10"/>
                <c:pt idx="0">
                  <c:v>0</c:v>
                </c:pt>
                <c:pt idx="1">
                  <c:v>212.39952015360004</c:v>
                </c:pt>
                <c:pt idx="2">
                  <c:v>441.79100191948805</c:v>
                </c:pt>
                <c:pt idx="3">
                  <c:v>689.19396299440132</c:v>
                </c:pt>
                <c:pt idx="4">
                  <c:v>689.19396299440132</c:v>
                </c:pt>
                <c:pt idx="5">
                  <c:v>716.76172151417757</c:v>
                </c:pt>
                <c:pt idx="6">
                  <c:v>716.76172151417757</c:v>
                </c:pt>
                <c:pt idx="7">
                  <c:v>496.95479358316311</c:v>
                </c:pt>
                <c:pt idx="8">
                  <c:v>258.41649266324481</c:v>
                </c:pt>
                <c:pt idx="9">
                  <c:v>0</c:v>
                </c:pt>
              </c:numCache>
            </c:numRef>
          </c:val>
          <c:extLst xmlns:c16r2="http://schemas.microsoft.com/office/drawing/2015/06/chart">
            <c:ext xmlns:c16="http://schemas.microsoft.com/office/drawing/2014/chart" uri="{C3380CC4-5D6E-409C-BE32-E72D297353CC}">
              <c16:uniqueId val="{00000000-A60D-4ABD-B176-E2C99D13CCC2}"/>
            </c:ext>
          </c:extLst>
        </c:ser>
        <c:ser>
          <c:idx val="1"/>
          <c:order val="2"/>
          <c:tx>
            <c:strRef>
              <c:f>Графики!$A$49</c:f>
              <c:strCache>
                <c:ptCount val="1"/>
                <c:pt idx="0">
                  <c:v>СМР (нежилые помещения на первых этажах МКД)</c:v>
                </c:pt>
              </c:strCache>
            </c:strRef>
          </c:tx>
          <c:spPr>
            <a:solidFill>
              <a:schemeClr val="accent2"/>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Графики!$B$49:$K$49</c:f>
              <c:numCache>
                <c:formatCode>0.0</c:formatCode>
                <c:ptCount val="10"/>
                <c:pt idx="0">
                  <c:v>0</c:v>
                </c:pt>
                <c:pt idx="1">
                  <c:v>37.482268262400012</c:v>
                </c:pt>
                <c:pt idx="2">
                  <c:v>77.96311798579201</c:v>
                </c:pt>
                <c:pt idx="3">
                  <c:v>121.62246405783553</c:v>
                </c:pt>
                <c:pt idx="4">
                  <c:v>121.62246405783553</c:v>
                </c:pt>
                <c:pt idx="5">
                  <c:v>126.48736262014899</c:v>
                </c:pt>
                <c:pt idx="6">
                  <c:v>126.48736262014899</c:v>
                </c:pt>
                <c:pt idx="7">
                  <c:v>87.697904749969965</c:v>
                </c:pt>
                <c:pt idx="8">
                  <c:v>45.60291046998438</c:v>
                </c:pt>
                <c:pt idx="9">
                  <c:v>0</c:v>
                </c:pt>
              </c:numCache>
            </c:numRef>
          </c:val>
          <c:extLst xmlns:c16r2="http://schemas.microsoft.com/office/drawing/2015/06/chart">
            <c:ext xmlns:c16="http://schemas.microsoft.com/office/drawing/2014/chart" uri="{C3380CC4-5D6E-409C-BE32-E72D297353CC}">
              <c16:uniqueId val="{00000001-A60D-4ABD-B176-E2C99D13CCC2}"/>
            </c:ext>
          </c:extLst>
        </c:ser>
        <c:ser>
          <c:idx val="2"/>
          <c:order val="3"/>
          <c:tx>
            <c:strRef>
              <c:f>Графики!$A$50</c:f>
              <c:strCache>
                <c:ptCount val="1"/>
                <c:pt idx="0">
                  <c:v>СМР (нежилые помещения в отдельно стоящих коммерческих зданиях)</c:v>
                </c:pt>
              </c:strCache>
            </c:strRef>
          </c:tx>
          <c:spPr>
            <a:solidFill>
              <a:schemeClr val="accent3"/>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Графики!$B$50:$K$50</c:f>
              <c:numCache>
                <c:formatCode>0.0</c:formatCode>
                <c:ptCount val="10"/>
                <c:pt idx="0">
                  <c:v>0</c:v>
                </c:pt>
                <c:pt idx="1">
                  <c:v>0</c:v>
                </c:pt>
                <c:pt idx="2">
                  <c:v>0</c:v>
                </c:pt>
                <c:pt idx="3">
                  <c:v>0</c:v>
                </c:pt>
                <c:pt idx="4">
                  <c:v>0</c:v>
                </c:pt>
                <c:pt idx="5">
                  <c:v>0</c:v>
                </c:pt>
                <c:pt idx="6">
                  <c:v>0</c:v>
                </c:pt>
                <c:pt idx="7">
                  <c:v>0</c:v>
                </c:pt>
                <c:pt idx="8">
                  <c:v>0</c:v>
                </c:pt>
                <c:pt idx="9">
                  <c:v>849.95626840011346</c:v>
                </c:pt>
              </c:numCache>
            </c:numRef>
          </c:val>
          <c:extLst xmlns:c16r2="http://schemas.microsoft.com/office/drawing/2015/06/chart">
            <c:ext xmlns:c16="http://schemas.microsoft.com/office/drawing/2014/chart" uri="{C3380CC4-5D6E-409C-BE32-E72D297353CC}">
              <c16:uniqueId val="{00000002-A60D-4ABD-B176-E2C99D13CCC2}"/>
            </c:ext>
          </c:extLst>
        </c:ser>
        <c:ser>
          <c:idx val="3"/>
          <c:order val="4"/>
          <c:tx>
            <c:strRef>
              <c:f>Графики!$A$51</c:f>
              <c:strCache>
                <c:ptCount val="1"/>
                <c:pt idx="0">
                  <c:v>Социальная инфраструктура</c:v>
                </c:pt>
              </c:strCache>
            </c:strRef>
          </c:tx>
          <c:spPr>
            <a:solidFill>
              <a:schemeClr val="accent4"/>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Графики!$B$51:$K$51</c:f>
              <c:numCache>
                <c:formatCode>0.0</c:formatCode>
                <c:ptCount val="10"/>
                <c:pt idx="0">
                  <c:v>0</c:v>
                </c:pt>
                <c:pt idx="1">
                  <c:v>0</c:v>
                </c:pt>
                <c:pt idx="2">
                  <c:v>0</c:v>
                </c:pt>
                <c:pt idx="3">
                  <c:v>35.081718497279994</c:v>
                </c:pt>
                <c:pt idx="4">
                  <c:v>36.484987237171204</c:v>
                </c:pt>
                <c:pt idx="5">
                  <c:v>37.94438672665806</c:v>
                </c:pt>
                <c:pt idx="6">
                  <c:v>39.462162195724382</c:v>
                </c:pt>
                <c:pt idx="7">
                  <c:v>41.040648683553364</c:v>
                </c:pt>
                <c:pt idx="8">
                  <c:v>42.682274630895499</c:v>
                </c:pt>
                <c:pt idx="9">
                  <c:v>0</c:v>
                </c:pt>
              </c:numCache>
            </c:numRef>
          </c:val>
          <c:extLst xmlns:c16r2="http://schemas.microsoft.com/office/drawing/2015/06/chart">
            <c:ext xmlns:c16="http://schemas.microsoft.com/office/drawing/2014/chart" uri="{C3380CC4-5D6E-409C-BE32-E72D297353CC}">
              <c16:uniqueId val="{00000003-A60D-4ABD-B176-E2C99D13CCC2}"/>
            </c:ext>
          </c:extLst>
        </c:ser>
        <c:ser>
          <c:idx val="4"/>
          <c:order val="5"/>
          <c:tx>
            <c:strRef>
              <c:f>Графики!$A$52</c:f>
              <c:strCache>
                <c:ptCount val="1"/>
                <c:pt idx="0">
                  <c:v>Транспортная инфраструктура</c:v>
                </c:pt>
              </c:strCache>
            </c:strRef>
          </c:tx>
          <c:spPr>
            <a:solidFill>
              <a:schemeClr val="accent5"/>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Графики!$B$52:$K$52</c:f>
              <c:numCache>
                <c:formatCode>0.0</c:formatCode>
                <c:ptCount val="10"/>
                <c:pt idx="0">
                  <c:v>0</c:v>
                </c:pt>
                <c:pt idx="1">
                  <c:v>0</c:v>
                </c:pt>
                <c:pt idx="2">
                  <c:v>0</c:v>
                </c:pt>
                <c:pt idx="3">
                  <c:v>28.638137548800007</c:v>
                </c:pt>
                <c:pt idx="4">
                  <c:v>29.783663050752008</c:v>
                </c:pt>
                <c:pt idx="5">
                  <c:v>30.975009572782088</c:v>
                </c:pt>
                <c:pt idx="6">
                  <c:v>32.214009955693378</c:v>
                </c:pt>
                <c:pt idx="7">
                  <c:v>33.502570353921108</c:v>
                </c:pt>
                <c:pt idx="8">
                  <c:v>34.842673168077958</c:v>
                </c:pt>
                <c:pt idx="9">
                  <c:v>0</c:v>
                </c:pt>
              </c:numCache>
            </c:numRef>
          </c:val>
          <c:extLst xmlns:c16r2="http://schemas.microsoft.com/office/drawing/2015/06/chart">
            <c:ext xmlns:c16="http://schemas.microsoft.com/office/drawing/2014/chart" uri="{C3380CC4-5D6E-409C-BE32-E72D297353CC}">
              <c16:uniqueId val="{00000004-A60D-4ABD-B176-E2C99D13CCC2}"/>
            </c:ext>
          </c:extLst>
        </c:ser>
        <c:ser>
          <c:idx val="5"/>
          <c:order val="6"/>
          <c:tx>
            <c:strRef>
              <c:f>Графики!$A$53</c:f>
              <c:strCache>
                <c:ptCount val="1"/>
                <c:pt idx="0">
                  <c:v>Инженерная инфраструктура</c:v>
                </c:pt>
              </c:strCache>
            </c:strRef>
          </c:tx>
          <c:spPr>
            <a:solidFill>
              <a:schemeClr val="accent6"/>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Графики!$B$53:$K$53</c:f>
              <c:numCache>
                <c:formatCode>0.0</c:formatCode>
                <c:ptCount val="10"/>
                <c:pt idx="0">
                  <c:v>0</c:v>
                </c:pt>
                <c:pt idx="1">
                  <c:v>0</c:v>
                </c:pt>
                <c:pt idx="2">
                  <c:v>0</c:v>
                </c:pt>
                <c:pt idx="3">
                  <c:v>85.91441264640001</c:v>
                </c:pt>
                <c:pt idx="4">
                  <c:v>89.350989152256005</c:v>
                </c:pt>
                <c:pt idx="5">
                  <c:v>92.925028718346255</c:v>
                </c:pt>
                <c:pt idx="6">
                  <c:v>96.642029867080112</c:v>
                </c:pt>
                <c:pt idx="7">
                  <c:v>100.50771106176332</c:v>
                </c:pt>
                <c:pt idx="8">
                  <c:v>104.52801950423387</c:v>
                </c:pt>
                <c:pt idx="9">
                  <c:v>0</c:v>
                </c:pt>
              </c:numCache>
            </c:numRef>
          </c:val>
          <c:extLst xmlns:c16r2="http://schemas.microsoft.com/office/drawing/2015/06/chart">
            <c:ext xmlns:c16="http://schemas.microsoft.com/office/drawing/2014/chart" uri="{C3380CC4-5D6E-409C-BE32-E72D297353CC}">
              <c16:uniqueId val="{00000005-A60D-4ABD-B176-E2C99D13CCC2}"/>
            </c:ext>
          </c:extLst>
        </c:ser>
        <c:ser>
          <c:idx val="6"/>
          <c:order val="7"/>
          <c:tx>
            <c:strRef>
              <c:f>Графики!$A$54</c:f>
              <c:strCache>
                <c:ptCount val="1"/>
                <c:pt idx="0">
                  <c:v>Благоустройство территорий общего пользования </c:v>
                </c:pt>
              </c:strCache>
            </c:strRef>
          </c:tx>
          <c:spPr>
            <a:solidFill>
              <a:schemeClr val="accent1">
                <a:lumMod val="6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Графики!$B$54:$K$54</c:f>
              <c:numCache>
                <c:formatCode>0.0</c:formatCode>
                <c:ptCount val="10"/>
                <c:pt idx="0">
                  <c:v>0</c:v>
                </c:pt>
                <c:pt idx="1">
                  <c:v>0</c:v>
                </c:pt>
                <c:pt idx="2">
                  <c:v>0</c:v>
                </c:pt>
                <c:pt idx="3">
                  <c:v>28.638137548800007</c:v>
                </c:pt>
                <c:pt idx="4">
                  <c:v>29.783663050752008</c:v>
                </c:pt>
                <c:pt idx="5">
                  <c:v>30.975009572782088</c:v>
                </c:pt>
                <c:pt idx="6">
                  <c:v>32.214009955693378</c:v>
                </c:pt>
                <c:pt idx="7">
                  <c:v>33.502570353921108</c:v>
                </c:pt>
                <c:pt idx="8">
                  <c:v>34.842673168077958</c:v>
                </c:pt>
                <c:pt idx="9">
                  <c:v>0</c:v>
                </c:pt>
              </c:numCache>
            </c:numRef>
          </c:val>
          <c:extLst xmlns:c16r2="http://schemas.microsoft.com/office/drawing/2015/06/chart">
            <c:ext xmlns:c16="http://schemas.microsoft.com/office/drawing/2014/chart" uri="{C3380CC4-5D6E-409C-BE32-E72D297353CC}">
              <c16:uniqueId val="{00000006-A60D-4ABD-B176-E2C99D13CCC2}"/>
            </c:ext>
          </c:extLst>
        </c:ser>
        <c:ser>
          <c:idx val="11"/>
          <c:order val="8"/>
          <c:tx>
            <c:strRef>
              <c:f>Графики!$A$55</c:f>
              <c:strCache>
                <c:ptCount val="1"/>
                <c:pt idx="0">
                  <c:v>Парковки подземные</c:v>
                </c:pt>
              </c:strCache>
            </c:strRef>
          </c:tx>
          <c:spPr>
            <a:solidFill>
              <a:schemeClr val="accent6">
                <a:lumMod val="6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Графики!$B$55:$K$55</c:f>
              <c:numCache>
                <c:formatCode>0.0</c:formatCode>
                <c:ptCount val="10"/>
                <c:pt idx="0">
                  <c:v>0</c:v>
                </c:pt>
                <c:pt idx="1">
                  <c:v>16.015718904177948</c:v>
                </c:pt>
                <c:pt idx="2">
                  <c:v>34.64520313351774</c:v>
                </c:pt>
                <c:pt idx="3">
                  <c:v>56.208377563819177</c:v>
                </c:pt>
                <c:pt idx="4">
                  <c:v>58.456712666371942</c:v>
                </c:pt>
                <c:pt idx="5">
                  <c:v>63.226780419947907</c:v>
                </c:pt>
                <c:pt idx="6">
                  <c:v>65.755851636745817</c:v>
                </c:pt>
                <c:pt idx="7">
                  <c:v>47.414352753536193</c:v>
                </c:pt>
                <c:pt idx="8">
                  <c:v>25.641681969112373</c:v>
                </c:pt>
                <c:pt idx="9">
                  <c:v>0</c:v>
                </c:pt>
              </c:numCache>
            </c:numRef>
          </c:val>
          <c:extLst xmlns:c16r2="http://schemas.microsoft.com/office/drawing/2015/06/chart">
            <c:ext xmlns:c16="http://schemas.microsoft.com/office/drawing/2014/chart" uri="{C3380CC4-5D6E-409C-BE32-E72D297353CC}">
              <c16:uniqueId val="{0000000B-A60D-4ABD-B176-E2C99D13CCC2}"/>
            </c:ext>
          </c:extLst>
        </c:ser>
        <c:ser>
          <c:idx val="7"/>
          <c:order val="9"/>
          <c:tx>
            <c:strRef>
              <c:f>Графики!$A$56</c:f>
              <c:strCache>
                <c:ptCount val="1"/>
                <c:pt idx="0">
                  <c:v>Суммарные прямые расходы застройщика на переселение и выкуп нежилых помещений</c:v>
                </c:pt>
              </c:strCache>
            </c:strRef>
          </c:tx>
          <c:spPr>
            <a:solidFill>
              <a:schemeClr val="accent2">
                <a:lumMod val="6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Графики!$B$56:$K$56</c:f>
              <c:numCache>
                <c:formatCode>0.0</c:formatCode>
                <c:ptCount val="10"/>
                <c:pt idx="0">
                  <c:v>824.89062399999989</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7-A60D-4ABD-B176-E2C99D13CCC2}"/>
            </c:ext>
          </c:extLst>
        </c:ser>
        <c:ser>
          <c:idx val="12"/>
          <c:order val="10"/>
          <c:tx>
            <c:strRef>
              <c:f>Графики!$A$57</c:f>
              <c:strCache>
                <c:ptCount val="1"/>
                <c:pt idx="0">
                  <c:v>Иные расходы </c:v>
                </c:pt>
              </c:strCache>
            </c:strRef>
          </c:tx>
          <c:spPr>
            <a:solidFill>
              <a:schemeClr val="accent1">
                <a:lumMod val="80000"/>
                <a:lumOff val="2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Графики!$B$57:$K$57</c:f>
              <c:numCache>
                <c:formatCode>0.0</c:formatCode>
                <c:ptCount val="10"/>
                <c:pt idx="0">
                  <c:v>41.9434112</c:v>
                </c:pt>
                <c:pt idx="1">
                  <c:v>13.294875366008903</c:v>
                </c:pt>
                <c:pt idx="2">
                  <c:v>27.719966151939889</c:v>
                </c:pt>
                <c:pt idx="3">
                  <c:v>52.264860542866806</c:v>
                </c:pt>
                <c:pt idx="4">
                  <c:v>52.85792070652181</c:v>
                </c:pt>
                <c:pt idx="5">
                  <c:v>54.964764957242153</c:v>
                </c:pt>
                <c:pt idx="6">
                  <c:v>55.47685738726318</c:v>
                </c:pt>
                <c:pt idx="7">
                  <c:v>42.031027576991413</c:v>
                </c:pt>
                <c:pt idx="8">
                  <c:v>27.327836278681339</c:v>
                </c:pt>
                <c:pt idx="9">
                  <c:v>42.497813420005677</c:v>
                </c:pt>
              </c:numCache>
            </c:numRef>
          </c:val>
          <c:extLst xmlns:c16r2="http://schemas.microsoft.com/office/drawing/2015/06/chart">
            <c:ext xmlns:c16="http://schemas.microsoft.com/office/drawing/2014/chart" uri="{C3380CC4-5D6E-409C-BE32-E72D297353CC}">
              <c16:uniqueId val="{0000000C-A60D-4ABD-B176-E2C99D13CCC2}"/>
            </c:ext>
          </c:extLst>
        </c:ser>
        <c:ser>
          <c:idx val="8"/>
          <c:order val="11"/>
          <c:tx>
            <c:strRef>
              <c:f>Графики!$A$58</c:f>
              <c:strCache>
                <c:ptCount val="1"/>
                <c:pt idx="0">
                  <c:v>Цена торгов на право заключить договор КРТ</c:v>
                </c:pt>
              </c:strCache>
            </c:strRef>
          </c:tx>
          <c:spPr>
            <a:solidFill>
              <a:schemeClr val="accent3">
                <a:lumMod val="60000"/>
              </a:schemeClr>
            </a:solidFill>
            <a:ln>
              <a:noFill/>
            </a:ln>
            <a:effectLst/>
          </c:spPr>
          <c:invertIfNegative val="0"/>
          <c:cat>
            <c:numRef>
              <c:f>Графики!$B$46:$K$46</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Графики!$B$58:$K$58</c:f>
              <c:numCache>
                <c:formatCode>0.0</c:formatCode>
                <c:ptCount val="10"/>
                <c:pt idx="0">
                  <c:v>100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8-A60D-4ABD-B176-E2C99D13CCC2}"/>
            </c:ext>
          </c:extLst>
        </c:ser>
        <c:dLbls>
          <c:showLegendKey val="0"/>
          <c:showVal val="0"/>
          <c:showCatName val="0"/>
          <c:showSerName val="0"/>
          <c:showPercent val="0"/>
          <c:showBubbleSize val="0"/>
        </c:dLbls>
        <c:gapWidth val="219"/>
        <c:overlap val="100"/>
        <c:axId val="340983824"/>
        <c:axId val="340984384"/>
      </c:barChart>
      <c:catAx>
        <c:axId val="3409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40984384"/>
        <c:crosses val="autoZero"/>
        <c:auto val="1"/>
        <c:lblAlgn val="ctr"/>
        <c:lblOffset val="100"/>
        <c:noMultiLvlLbl val="0"/>
      </c:catAx>
      <c:valAx>
        <c:axId val="340984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4098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Функциональная структура застройки, % (тыс. кв. м)</a:t>
            </a:r>
          </a:p>
        </c:rich>
      </c:tx>
      <c:layout>
        <c:manualLayout>
          <c:xMode val="edge"/>
          <c:yMode val="edge"/>
          <c:x val="0.23375231136087316"/>
          <c:y val="0"/>
        </c:manualLayout>
      </c:layout>
      <c:overlay val="0"/>
    </c:title>
    <c:autoTitleDeleted val="0"/>
    <c:plotArea>
      <c:layout/>
      <c:barChart>
        <c:barDir val="col"/>
        <c:grouping val="percentStacked"/>
        <c:varyColors val="0"/>
        <c:ser>
          <c:idx val="0"/>
          <c:order val="0"/>
          <c:tx>
            <c:strRef>
              <c:f>Графики!$A$34</c:f>
              <c:strCache>
                <c:ptCount val="1"/>
                <c:pt idx="0">
                  <c:v>Общая площадь жилых помещений, без коммерческих первых этажей</c:v>
                </c:pt>
              </c:strCache>
            </c:strRef>
          </c:tx>
          <c:invertIfNegative val="0"/>
          <c:dLbls>
            <c:dLbl>
              <c:idx val="0"/>
              <c:tx>
                <c:rich>
                  <a:bodyPr/>
                  <a:lstStyle/>
                  <a:p>
                    <a:fld id="{B0B693E7-2A35-4519-9119-4B4BB771417D}" type="CELLRANGE">
                      <a:rPr lang="ru-RU"/>
                      <a:pPr/>
                      <a:t>[ДИАПАЗОН ЯЧЕЕК]</a:t>
                    </a:fld>
                    <a:r>
                      <a:rPr lang="ru-RU" baseline="0"/>
                      <a:t>; </a:t>
                    </a:r>
                    <a:fld id="{87CD31D0-F33D-4AC8-8012-D0FC838771CA}"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B02FF4C6-1AAE-405C-809B-95797C0CEF89}" type="CELLRANGE">
                      <a:rPr lang="ru-RU"/>
                      <a:pPr/>
                      <a:t>[ДИАПАЗОН ЯЧЕЕК]</a:t>
                    </a:fld>
                    <a:r>
                      <a:rPr lang="ru-RU" baseline="0"/>
                      <a:t>; </a:t>
                    </a:r>
                    <a:fld id="{73702BD7-3683-4F44-9C20-20AF62F04D67}"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ext>
            </c:extLst>
          </c:dLbls>
          <c:cat>
            <c:strRef>
              <c:f>Графики!$B$29:$C$29</c:f>
              <c:strCache>
                <c:ptCount val="2"/>
                <c:pt idx="0">
                  <c:v>До реализации проекта</c:v>
                </c:pt>
                <c:pt idx="1">
                  <c:v>После реализации проекта</c:v>
                </c:pt>
              </c:strCache>
            </c:strRef>
          </c:cat>
          <c:val>
            <c:numRef>
              <c:f>Графики!$B$34:$C$34</c:f>
              <c:numCache>
                <c:formatCode>0%</c:formatCode>
                <c:ptCount val="2"/>
                <c:pt idx="0">
                  <c:v>0.96899224806201545</c:v>
                </c:pt>
                <c:pt idx="1">
                  <c:v>0.72310314549868282</c:v>
                </c:pt>
              </c:numCache>
            </c:numRef>
          </c:val>
          <c:extLst xmlns:c16r2="http://schemas.microsoft.com/office/drawing/2015/06/chart">
            <c:ext xmlns:c16="http://schemas.microsoft.com/office/drawing/2014/chart" uri="{C3380CC4-5D6E-409C-BE32-E72D297353CC}">
              <c16:uniqueId val="{00000002-F33D-4952-8428-B4745EB193A0}"/>
            </c:ext>
            <c:ext xmlns:c15="http://schemas.microsoft.com/office/drawing/2012/chart" uri="{02D57815-91ED-43cb-92C2-25804820EDAC}">
              <c15:datalabelsRange>
                <c15:f>Графики!$B$30:$C$30</c15:f>
                <c15:dlblRangeCache>
                  <c:ptCount val="2"/>
                  <c:pt idx="0">
                    <c:v>10,0</c:v>
                  </c:pt>
                  <c:pt idx="1">
                    <c:v>60,5</c:v>
                  </c:pt>
                </c15:dlblRangeCache>
              </c15:datalabelsRange>
            </c:ext>
          </c:extLst>
        </c:ser>
        <c:ser>
          <c:idx val="1"/>
          <c:order val="1"/>
          <c:tx>
            <c:strRef>
              <c:f>Графики!$A$35</c:f>
              <c:strCache>
                <c:ptCount val="1"/>
                <c:pt idx="0">
                  <c:v>Общая площадь коммерческих помещений</c:v>
                </c:pt>
              </c:strCache>
            </c:strRef>
          </c:tx>
          <c:invertIfNegative val="0"/>
          <c:dLbls>
            <c:dLbl>
              <c:idx val="0"/>
              <c:tx>
                <c:rich>
                  <a:bodyPr/>
                  <a:lstStyle/>
                  <a:p>
                    <a:fld id="{CFAEF889-75B5-4387-AD5A-4369C69C5395}" type="CELLRANGE">
                      <a:rPr lang="ru-RU"/>
                      <a:pPr/>
                      <a:t>[ДИАПАЗОН ЯЧЕЕК]</a:t>
                    </a:fld>
                    <a:r>
                      <a:rPr lang="ru-RU" baseline="0"/>
                      <a:t>; </a:t>
                    </a:r>
                    <a:fld id="{49775231-9247-4507-8065-C37CB5540270}"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6A746DBD-5470-481E-9CE3-4B402C4F5C63}" type="CELLRANGE">
                      <a:rPr lang="ru-RU"/>
                      <a:pPr/>
                      <a:t>[ДИАПАЗОН ЯЧЕЕК]</a:t>
                    </a:fld>
                    <a:r>
                      <a:rPr lang="ru-RU" baseline="0"/>
                      <a:t>; </a:t>
                    </a:r>
                    <a:fld id="{795BA601-DFE6-4D51-B7A5-1E9914A10970}"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ext>
            </c:extLst>
          </c:dLbls>
          <c:cat>
            <c:strRef>
              <c:f>Графики!$B$29:$C$29</c:f>
              <c:strCache>
                <c:ptCount val="2"/>
                <c:pt idx="0">
                  <c:v>До реализации проекта</c:v>
                </c:pt>
                <c:pt idx="1">
                  <c:v>После реализации проекта</c:v>
                </c:pt>
              </c:strCache>
            </c:strRef>
          </c:cat>
          <c:val>
            <c:numRef>
              <c:f>Графики!$B$35:$C$35</c:f>
              <c:numCache>
                <c:formatCode>0%</c:formatCode>
                <c:ptCount val="2"/>
                <c:pt idx="0">
                  <c:v>3.1007751937984496E-2</c:v>
                </c:pt>
                <c:pt idx="1">
                  <c:v>0.26255530878225986</c:v>
                </c:pt>
              </c:numCache>
            </c:numRef>
          </c:val>
          <c:extLst xmlns:c16r2="http://schemas.microsoft.com/office/drawing/2015/06/chart">
            <c:ext xmlns:c16="http://schemas.microsoft.com/office/drawing/2014/chart" uri="{C3380CC4-5D6E-409C-BE32-E72D297353CC}">
              <c16:uniqueId val="{00000005-F33D-4952-8428-B4745EB193A0}"/>
            </c:ext>
            <c:ext xmlns:c15="http://schemas.microsoft.com/office/drawing/2012/chart" uri="{02D57815-91ED-43cb-92C2-25804820EDAC}">
              <c15:datalabelsRange>
                <c15:f>Графики!$B$31:$C$31</c15:f>
                <c15:dlblRangeCache>
                  <c:ptCount val="2"/>
                  <c:pt idx="0">
                    <c:v>0,3</c:v>
                  </c:pt>
                  <c:pt idx="1">
                    <c:v>22,0</c:v>
                  </c:pt>
                </c15:dlblRangeCache>
              </c15:datalabelsRange>
            </c:ext>
          </c:extLst>
        </c:ser>
        <c:ser>
          <c:idx val="2"/>
          <c:order val="2"/>
          <c:tx>
            <c:strRef>
              <c:f>Графики!$A$36</c:f>
              <c:strCache>
                <c:ptCount val="1"/>
                <c:pt idx="0">
                  <c:v>Общая площадь социальных объектов</c:v>
                </c:pt>
              </c:strCache>
            </c:strRef>
          </c:tx>
          <c:invertIfNegative val="0"/>
          <c:dLbls>
            <c:dLbl>
              <c:idx val="0"/>
              <c:tx>
                <c:rich>
                  <a:bodyPr/>
                  <a:lstStyle/>
                  <a:p>
                    <a:fld id="{1AFFB0DB-D931-4F6E-8D16-C35D110077B1}" type="CELLRANGE">
                      <a:rPr lang="ru-RU"/>
                      <a:pPr/>
                      <a:t>[ДИАПАЗОН ЯЧЕЕК]</a:t>
                    </a:fld>
                    <a:r>
                      <a:rPr lang="ru-RU" baseline="0"/>
                      <a:t>; </a:t>
                    </a:r>
                    <a:fld id="{349B89C8-1A6F-4771-BE38-E17096ACA80B}"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24C09FBF-CF3B-48FE-90FC-133BD78D8599}" type="CELLRANGE">
                      <a:rPr lang="ru-RU"/>
                      <a:pPr/>
                      <a:t>[ДИАПАЗОН ЯЧЕЕК]</a:t>
                    </a:fld>
                    <a:r>
                      <a:rPr lang="ru-RU" baseline="0"/>
                      <a:t>; </a:t>
                    </a:r>
                    <a:fld id="{B9154DFA-5685-4715-8A98-925053D2287D}" type="VALUE">
                      <a:rPr lang="ru-RU" baseline="0"/>
                      <a:pPr/>
                      <a:t>[ЗНАЧЕНИЕ]</a:t>
                    </a:fld>
                    <a:endParaRPr lang="ru-RU"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ext>
            </c:extLst>
          </c:dLbls>
          <c:cat>
            <c:strRef>
              <c:f>Графики!$B$29:$C$29</c:f>
              <c:strCache>
                <c:ptCount val="2"/>
                <c:pt idx="0">
                  <c:v>До реализации проекта</c:v>
                </c:pt>
                <c:pt idx="1">
                  <c:v>После реализации проекта</c:v>
                </c:pt>
              </c:strCache>
            </c:strRef>
          </c:cat>
          <c:val>
            <c:numRef>
              <c:f>Графики!$B$36:$C$36</c:f>
              <c:numCache>
                <c:formatCode>0%</c:formatCode>
                <c:ptCount val="2"/>
                <c:pt idx="0">
                  <c:v>0</c:v>
                </c:pt>
                <c:pt idx="1">
                  <c:v>1.434154571905721E-2</c:v>
                </c:pt>
              </c:numCache>
            </c:numRef>
          </c:val>
          <c:extLst xmlns:c16r2="http://schemas.microsoft.com/office/drawing/2015/06/chart">
            <c:ext xmlns:c16="http://schemas.microsoft.com/office/drawing/2014/chart" uri="{C3380CC4-5D6E-409C-BE32-E72D297353CC}">
              <c16:uniqueId val="{00000008-F33D-4952-8428-B4745EB193A0}"/>
            </c:ext>
            <c:ext xmlns:c15="http://schemas.microsoft.com/office/drawing/2012/chart" uri="{02D57815-91ED-43cb-92C2-25804820EDAC}">
              <c15:datalabelsRange>
                <c15:f>Графики!$B$32:$C$32</c15:f>
                <c15:dlblRangeCache>
                  <c:ptCount val="2"/>
                  <c:pt idx="0">
                    <c:v>0,0</c:v>
                  </c:pt>
                  <c:pt idx="1">
                    <c:v>1,2</c:v>
                  </c:pt>
                </c15:dlblRangeCache>
              </c15:datalabelsRange>
            </c:ext>
          </c:extLst>
        </c:ser>
        <c:dLbls>
          <c:showLegendKey val="0"/>
          <c:showVal val="1"/>
          <c:showCatName val="0"/>
          <c:showSerName val="0"/>
          <c:showPercent val="0"/>
          <c:showBubbleSize val="0"/>
        </c:dLbls>
        <c:gapWidth val="150"/>
        <c:overlap val="100"/>
        <c:axId val="273800080"/>
        <c:axId val="273801760"/>
      </c:barChart>
      <c:catAx>
        <c:axId val="273800080"/>
        <c:scaling>
          <c:orientation val="minMax"/>
        </c:scaling>
        <c:delete val="0"/>
        <c:axPos val="b"/>
        <c:numFmt formatCode="General" sourceLinked="0"/>
        <c:majorTickMark val="out"/>
        <c:minorTickMark val="none"/>
        <c:tickLblPos val="nextTo"/>
        <c:crossAx val="273801760"/>
        <c:crosses val="autoZero"/>
        <c:auto val="1"/>
        <c:lblAlgn val="ctr"/>
        <c:lblOffset val="100"/>
        <c:noMultiLvlLbl val="0"/>
      </c:catAx>
      <c:valAx>
        <c:axId val="273801760"/>
        <c:scaling>
          <c:orientation val="minMax"/>
        </c:scaling>
        <c:delete val="0"/>
        <c:axPos val="l"/>
        <c:majorGridlines/>
        <c:numFmt formatCode="0%" sourceLinked="1"/>
        <c:majorTickMark val="out"/>
        <c:minorTickMark val="none"/>
        <c:tickLblPos val="nextTo"/>
        <c:crossAx val="273800080"/>
        <c:crosses val="autoZero"/>
        <c:crossBetween val="between"/>
      </c:valAx>
    </c:plotArea>
    <c:legend>
      <c:legendPos val="r"/>
      <c:overlay val="0"/>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a:pPr>
            <a:r>
              <a:rPr lang="ru-RU"/>
              <a:t>Ввод жилья для переселения и на продажу, тыс. кв. м</a:t>
            </a:r>
          </a:p>
        </c:rich>
      </c:tx>
      <c:overlay val="0"/>
      <c:spPr>
        <a:noFill/>
        <a:ln>
          <a:noFill/>
        </a:ln>
        <a:effectLst/>
      </c:spPr>
    </c:title>
    <c:autoTitleDeleted val="0"/>
    <c:plotArea>
      <c:layout/>
      <c:barChart>
        <c:barDir val="col"/>
        <c:grouping val="stacked"/>
        <c:varyColors val="0"/>
        <c:ser>
          <c:idx val="0"/>
          <c:order val="0"/>
          <c:spPr>
            <a:solidFill>
              <a:schemeClr val="accent1"/>
            </a:solidFill>
            <a:ln>
              <a:noFill/>
            </a:ln>
            <a:effectLst/>
          </c:spPr>
          <c:invertIfNegative val="0"/>
          <c:val>
            <c:numRef>
              <c:f>Графики!#REF!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E4A-4B2B-8F3B-18D76F083D49}"/>
            </c:ext>
            <c:ext xmlns:c15="http://schemas.microsoft.com/office/drawing/2012/chart" uri="{02D57815-91ED-43cb-92C2-25804820EDAC}">
              <c15:filteredSeriesTitle>
                <c15:tx>
                  <c:strRef>
                    <c:extLst xmlns:c16r2="http://schemas.microsoft.com/office/drawing/2015/06/chart">
                      <c:ext uri="{02D57815-91ED-43cb-92C2-25804820EDAC}">
                        <c15:formulaRef>
                          <c15:sqref>Графики!#REF!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Графики!#REF!</c15:sqref>
                        </c15:formulaRef>
                      </c:ext>
                    </c:extLst>
                  </c:multiLvlStrRef>
                </c15:cat>
              </c15:filteredCategoryTitle>
            </c:ext>
          </c:extLst>
        </c:ser>
        <c:ser>
          <c:idx val="1"/>
          <c:order val="1"/>
          <c:spPr>
            <a:solidFill>
              <a:schemeClr val="accent2"/>
            </a:solidFill>
            <a:ln>
              <a:noFill/>
            </a:ln>
            <a:effectLst/>
          </c:spPr>
          <c:invertIfNegative val="0"/>
          <c:val>
            <c:numRef>
              <c:f>Графики!#REF!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0E4A-4B2B-8F3B-18D76F083D49}"/>
            </c:ext>
            <c:ext xmlns:c15="http://schemas.microsoft.com/office/drawing/2012/chart" uri="{02D57815-91ED-43cb-92C2-25804820EDAC}">
              <c15:filteredSeriesTitle>
                <c15:tx>
                  <c:strRef>
                    <c:extLst xmlns:c16r2="http://schemas.microsoft.com/office/drawing/2015/06/chart">
                      <c:ext uri="{02D57815-91ED-43cb-92C2-25804820EDAC}">
                        <c15:formulaRef>
                          <c15:sqref>Графики!#REF!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Графики!#REF!</c15:sqref>
                        </c15:formulaRef>
                      </c:ext>
                    </c:extLst>
                  </c:multiLvlStrRef>
                </c15:cat>
              </c15:filteredCategoryTitle>
            </c:ext>
          </c:extLst>
        </c:ser>
        <c:ser>
          <c:idx val="2"/>
          <c:order val="2"/>
          <c:invertIfNegative val="0"/>
          <c:val>
            <c:numRef>
              <c:f>Графики!#REF!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0E4A-4B2B-8F3B-18D76F083D49}"/>
            </c:ext>
            <c:ext xmlns:c15="http://schemas.microsoft.com/office/drawing/2012/chart" uri="{02D57815-91ED-43cb-92C2-25804820EDAC}">
              <c15:filteredSeriesTitle>
                <c15:tx>
                  <c:strRef>
                    <c:extLst xmlns:c16r2="http://schemas.microsoft.com/office/drawing/2015/06/chart">
                      <c:ext uri="{02D57815-91ED-43cb-92C2-25804820EDAC}">
                        <c15:formulaRef>
                          <c15:sqref>Графики!#REF!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Графики!#REF!</c15:sqref>
                        </c15:formulaRef>
                      </c:ext>
                    </c:extLst>
                  </c:multiLvlStrRef>
                </c15:cat>
              </c15:filteredCategoryTitle>
            </c:ext>
          </c:extLst>
        </c:ser>
        <c:dLbls>
          <c:showLegendKey val="0"/>
          <c:showVal val="0"/>
          <c:showCatName val="0"/>
          <c:showSerName val="0"/>
          <c:showPercent val="0"/>
          <c:showBubbleSize val="0"/>
        </c:dLbls>
        <c:gapWidth val="150"/>
        <c:overlap val="100"/>
        <c:axId val="346243168"/>
        <c:axId val="346243728"/>
      </c:barChart>
      <c:catAx>
        <c:axId val="34624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346243728"/>
        <c:crosses val="autoZero"/>
        <c:auto val="1"/>
        <c:lblAlgn val="ctr"/>
        <c:lblOffset val="100"/>
        <c:noMultiLvlLbl val="0"/>
      </c:catAx>
      <c:valAx>
        <c:axId val="346243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ru-RU"/>
          </a:p>
        </c:txPr>
        <c:crossAx val="346243168"/>
        <c:crosses val="autoZero"/>
        <c:crossBetween val="between"/>
      </c:valAx>
      <c:spPr>
        <a:noFill/>
        <a:ln>
          <a:noFill/>
        </a:ln>
        <a:effectLst/>
      </c:spPr>
    </c:plotArea>
    <c:legend>
      <c:legendPos val="b"/>
      <c:overlay val="0"/>
      <c:spPr>
        <a:noFill/>
        <a:ln>
          <a:noFill/>
        </a:ln>
        <a:effectLst/>
      </c:spPr>
      <c:txPr>
        <a:bodyPr rot="0" vert="horz"/>
        <a:lstStyle/>
        <a:p>
          <a:pPr>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lgn="ctr">
        <a:defRPr lang="ru-RU"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Графики!$A$63</c:f>
              <c:strCache>
                <c:ptCount val="1"/>
                <c:pt idx="0">
                  <c:v>Общий объем инвестиций и расходов на проценты по проектному финансированию</c:v>
                </c:pt>
              </c:strCache>
            </c:strRef>
          </c:tx>
          <c:spPr>
            <a:ln w="38100"/>
          </c:spPr>
          <c:marker>
            <c:symbol val="none"/>
          </c:marker>
          <c:cat>
            <c:numRef>
              <c:f>Графики!$B$62:$K$62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Графики!$B$63:$K$63</c:f>
              <c:numCache>
                <c:formatCode>0</c:formatCode>
                <c:ptCount val="10"/>
                <c:pt idx="0">
                  <c:v>1072.7852408704</c:v>
                </c:pt>
                <c:pt idx="1">
                  <c:v>307.67000572017798</c:v>
                </c:pt>
                <c:pt idx="2">
                  <c:v>641.4954566881928</c:v>
                </c:pt>
                <c:pt idx="3">
                  <c:v>1097.5620714002027</c:v>
                </c:pt>
                <c:pt idx="4">
                  <c:v>1110.0163348369579</c:v>
                </c:pt>
                <c:pt idx="5">
                  <c:v>1154.2600641020852</c:v>
                </c:pt>
                <c:pt idx="6">
                  <c:v>1165.0140051325268</c:v>
                </c:pt>
                <c:pt idx="7">
                  <c:v>882.65157911681956</c:v>
                </c:pt>
                <c:pt idx="8">
                  <c:v>573.88456185230814</c:v>
                </c:pt>
                <c:pt idx="9">
                  <c:v>892.45408182011909</c:v>
                </c:pt>
              </c:numCache>
            </c:numRef>
          </c:val>
          <c:smooth val="0"/>
          <c:extLst xmlns:c16r2="http://schemas.microsoft.com/office/drawing/2015/06/chart">
            <c:ext xmlns:c16="http://schemas.microsoft.com/office/drawing/2014/chart" uri="{C3380CC4-5D6E-409C-BE32-E72D297353CC}">
              <c16:uniqueId val="{00000000-CF4E-4C66-9FF2-DBCF7883DEBE}"/>
            </c:ext>
          </c:extLst>
        </c:ser>
        <c:ser>
          <c:idx val="1"/>
          <c:order val="1"/>
          <c:tx>
            <c:strRef>
              <c:f>Графики!$A$64</c:f>
              <c:strCache>
                <c:ptCount val="1"/>
                <c:pt idx="0">
                  <c:v>Доходы от продажи жилья, нежилых помещений, парковочных мест</c:v>
                </c:pt>
              </c:strCache>
            </c:strRef>
          </c:tx>
          <c:spPr>
            <a:ln w="38100"/>
          </c:spPr>
          <c:marker>
            <c:symbol val="none"/>
          </c:marker>
          <c:cat>
            <c:numRef>
              <c:f>Графики!$B$62:$K$62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Графики!$B$64:$K$64</c:f>
              <c:numCache>
                <c:formatCode>0</c:formatCode>
                <c:ptCount val="10"/>
                <c:pt idx="0">
                  <c:v>0</c:v>
                </c:pt>
                <c:pt idx="1">
                  <c:v>0</c:v>
                </c:pt>
                <c:pt idx="2">
                  <c:v>0</c:v>
                </c:pt>
                <c:pt idx="3">
                  <c:v>1717.0893818757122</c:v>
                </c:pt>
                <c:pt idx="4">
                  <c:v>1857.2303887368196</c:v>
                </c:pt>
                <c:pt idx="5">
                  <c:v>1931.5196042862924</c:v>
                </c:pt>
                <c:pt idx="6">
                  <c:v>2008.7803884577443</c:v>
                </c:pt>
                <c:pt idx="7">
                  <c:v>2089.1316039960539</c:v>
                </c:pt>
                <c:pt idx="8">
                  <c:v>2172.6968681558965</c:v>
                </c:pt>
                <c:pt idx="9">
                  <c:v>1198.9978707838591</c:v>
                </c:pt>
              </c:numCache>
            </c:numRef>
          </c:val>
          <c:smooth val="0"/>
          <c:extLst xmlns:c16r2="http://schemas.microsoft.com/office/drawing/2015/06/chart">
            <c:ext xmlns:c16="http://schemas.microsoft.com/office/drawing/2014/chart" uri="{C3380CC4-5D6E-409C-BE32-E72D297353CC}">
              <c16:uniqueId val="{00000001-CF4E-4C66-9FF2-DBCF7883DEBE}"/>
            </c:ext>
          </c:extLst>
        </c:ser>
        <c:ser>
          <c:idx val="2"/>
          <c:order val="2"/>
          <c:tx>
            <c:strRef>
              <c:f>Графики!$A$65</c:f>
              <c:strCache>
                <c:ptCount val="1"/>
                <c:pt idx="0">
                  <c:v>Финансирование за счет собственных средств застройщика</c:v>
                </c:pt>
              </c:strCache>
            </c:strRef>
          </c:tx>
          <c:marker>
            <c:symbol val="none"/>
          </c:marker>
          <c:cat>
            <c:numRef>
              <c:f>Графики!$B$62:$K$62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Графики!$B$65:$K$65</c:f>
              <c:numCache>
                <c:formatCode>0</c:formatCode>
                <c:ptCount val="10"/>
                <c:pt idx="0">
                  <c:v>147.12174528</c:v>
                </c:pt>
                <c:pt idx="1">
                  <c:v>41.878857402928041</c:v>
                </c:pt>
                <c:pt idx="2">
                  <c:v>87.317893378610634</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CF4E-4C66-9FF2-DBCF7883DEBE}"/>
            </c:ext>
          </c:extLst>
        </c:ser>
        <c:dLbls>
          <c:showLegendKey val="0"/>
          <c:showVal val="0"/>
          <c:showCatName val="0"/>
          <c:showSerName val="0"/>
          <c:showPercent val="0"/>
          <c:showBubbleSize val="0"/>
        </c:dLbls>
        <c:smooth val="0"/>
        <c:axId val="346247088"/>
        <c:axId val="346247648"/>
      </c:lineChart>
      <c:catAx>
        <c:axId val="346247088"/>
        <c:scaling>
          <c:orientation val="minMax"/>
        </c:scaling>
        <c:delete val="0"/>
        <c:axPos val="b"/>
        <c:numFmt formatCode="General" sourceLinked="1"/>
        <c:majorTickMark val="out"/>
        <c:minorTickMark val="none"/>
        <c:tickLblPos val="nextTo"/>
        <c:crossAx val="346247648"/>
        <c:crosses val="autoZero"/>
        <c:auto val="1"/>
        <c:lblAlgn val="ctr"/>
        <c:lblOffset val="100"/>
        <c:noMultiLvlLbl val="0"/>
      </c:catAx>
      <c:valAx>
        <c:axId val="346247648"/>
        <c:scaling>
          <c:orientation val="minMax"/>
        </c:scaling>
        <c:delete val="0"/>
        <c:axPos val="l"/>
        <c:majorGridlines/>
        <c:title>
          <c:tx>
            <c:rich>
              <a:bodyPr rot="-5400000" vert="horz"/>
              <a:lstStyle/>
              <a:p>
                <a:pPr>
                  <a:defRPr/>
                </a:pPr>
                <a:r>
                  <a:rPr lang="ru-RU"/>
                  <a:t>Млн рублей</a:t>
                </a:r>
              </a:p>
            </c:rich>
          </c:tx>
          <c:overlay val="0"/>
        </c:title>
        <c:numFmt formatCode="0" sourceLinked="1"/>
        <c:majorTickMark val="out"/>
        <c:minorTickMark val="none"/>
        <c:tickLblPos val="nextTo"/>
        <c:crossAx val="346247088"/>
        <c:crosses val="autoZero"/>
        <c:crossBetween val="between"/>
      </c:valAx>
    </c:plotArea>
    <c:legend>
      <c:legendPos val="b"/>
      <c:overlay val="0"/>
    </c:legend>
    <c:plotVisOnly val="1"/>
    <c:dispBlanksAs val="gap"/>
    <c:showDLblsOverMax val="0"/>
  </c:chart>
  <c:txPr>
    <a:bodyPr/>
    <a:lstStyle/>
    <a:p>
      <a:pPr>
        <a:defRPr sz="16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Графики!$A$79</c:f>
              <c:strCache>
                <c:ptCount val="1"/>
                <c:pt idx="0">
                  <c:v>Дисконтированные инвестиционные и операционные затраты </c:v>
                </c:pt>
              </c:strCache>
            </c:strRef>
          </c:tx>
          <c:spPr>
            <a:ln w="38100"/>
          </c:spPr>
          <c:marker>
            <c:symbol val="none"/>
          </c:marker>
          <c:cat>
            <c:numRef>
              <c:f>Графики!$B$78:$K$78</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Графики!$B$79:$K$79</c:f>
              <c:numCache>
                <c:formatCode>0</c:formatCode>
                <c:ptCount val="10"/>
                <c:pt idx="0">
                  <c:v>1072.7852408704</c:v>
                </c:pt>
                <c:pt idx="1">
                  <c:v>279.7000052001618</c:v>
                </c:pt>
                <c:pt idx="2">
                  <c:v>530.16153445305179</c:v>
                </c:pt>
                <c:pt idx="3">
                  <c:v>824.61462915116635</c:v>
                </c:pt>
                <c:pt idx="4">
                  <c:v>758.15609236866169</c:v>
                </c:pt>
                <c:pt idx="5">
                  <c:v>716.70468615661173</c:v>
                </c:pt>
                <c:pt idx="6">
                  <c:v>657.62003404484869</c:v>
                </c:pt>
                <c:pt idx="7">
                  <c:v>452.93982339294865</c:v>
                </c:pt>
                <c:pt idx="8">
                  <c:v>267.72138349253083</c:v>
                </c:pt>
                <c:pt idx="9">
                  <c:v>378.48765060671508</c:v>
                </c:pt>
              </c:numCache>
            </c:numRef>
          </c:val>
          <c:smooth val="0"/>
          <c:extLst xmlns:c16r2="http://schemas.microsoft.com/office/drawing/2015/06/chart">
            <c:ext xmlns:c16="http://schemas.microsoft.com/office/drawing/2014/chart" uri="{C3380CC4-5D6E-409C-BE32-E72D297353CC}">
              <c16:uniqueId val="{00000000-18EC-4FCE-AB19-41937F289EA6}"/>
            </c:ext>
          </c:extLst>
        </c:ser>
        <c:ser>
          <c:idx val="1"/>
          <c:order val="1"/>
          <c:tx>
            <c:strRef>
              <c:f>Графики!$A$80</c:f>
              <c:strCache>
                <c:ptCount val="1"/>
                <c:pt idx="0">
                  <c:v>Денежный поток до налогообложения </c:v>
                </c:pt>
              </c:strCache>
            </c:strRef>
          </c:tx>
          <c:spPr>
            <a:ln w="38100"/>
          </c:spPr>
          <c:marker>
            <c:symbol val="none"/>
          </c:marker>
          <c:cat>
            <c:numRef>
              <c:f>Графики!$B$78:$K$78</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Графики!$B$80:$K$80</c:f>
              <c:numCache>
                <c:formatCode>0</c:formatCode>
                <c:ptCount val="10"/>
                <c:pt idx="0">
                  <c:v>-1072.7852408704</c:v>
                </c:pt>
                <c:pt idx="1">
                  <c:v>-307.67000572017798</c:v>
                </c:pt>
                <c:pt idx="2">
                  <c:v>-641.4954566881928</c:v>
                </c:pt>
                <c:pt idx="3">
                  <c:v>619.52731047550947</c:v>
                </c:pt>
                <c:pt idx="4">
                  <c:v>747.21405389986171</c:v>
                </c:pt>
                <c:pt idx="5">
                  <c:v>777.25954018420725</c:v>
                </c:pt>
                <c:pt idx="6">
                  <c:v>843.76638332521748</c:v>
                </c:pt>
                <c:pt idx="7">
                  <c:v>1206.4800248792344</c:v>
                </c:pt>
                <c:pt idx="8">
                  <c:v>1598.8123063035882</c:v>
                </c:pt>
                <c:pt idx="9">
                  <c:v>306.54378896373998</c:v>
                </c:pt>
              </c:numCache>
            </c:numRef>
          </c:val>
          <c:smooth val="0"/>
          <c:extLst xmlns:c16r2="http://schemas.microsoft.com/office/drawing/2015/06/chart">
            <c:ext xmlns:c16="http://schemas.microsoft.com/office/drawing/2014/chart" uri="{C3380CC4-5D6E-409C-BE32-E72D297353CC}">
              <c16:uniqueId val="{00000001-18EC-4FCE-AB19-41937F289EA6}"/>
            </c:ext>
          </c:extLst>
        </c:ser>
        <c:ser>
          <c:idx val="2"/>
          <c:order val="2"/>
          <c:tx>
            <c:strRef>
              <c:f>Графики!$A$81</c:f>
              <c:strCache>
                <c:ptCount val="1"/>
                <c:pt idx="0">
                  <c:v>Дисконтированный чистый денежный поток </c:v>
                </c:pt>
              </c:strCache>
            </c:strRef>
          </c:tx>
          <c:spPr>
            <a:ln w="38100"/>
          </c:spPr>
          <c:marker>
            <c:symbol val="none"/>
          </c:marker>
          <c:cat>
            <c:numRef>
              <c:f>Графики!$B$78:$K$78</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Графики!$B$81:$K$81</c:f>
              <c:numCache>
                <c:formatCode>0</c:formatCode>
                <c:ptCount val="10"/>
                <c:pt idx="0">
                  <c:v>-1072.7852408704</c:v>
                </c:pt>
                <c:pt idx="1">
                  <c:v>-279.7000052001618</c:v>
                </c:pt>
                <c:pt idx="2">
                  <c:v>-530.16153445305179</c:v>
                </c:pt>
                <c:pt idx="3">
                  <c:v>465.46003792299723</c:v>
                </c:pt>
                <c:pt idx="4">
                  <c:v>510.35725285148658</c:v>
                </c:pt>
                <c:pt idx="5">
                  <c:v>467.46030755974539</c:v>
                </c:pt>
                <c:pt idx="6">
                  <c:v>367.24846979811144</c:v>
                </c:pt>
                <c:pt idx="7">
                  <c:v>396.16869117748394</c:v>
                </c:pt>
                <c:pt idx="8">
                  <c:v>587.10173974490317</c:v>
                </c:pt>
                <c:pt idx="9">
                  <c:v>70.706773918388379</c:v>
                </c:pt>
              </c:numCache>
            </c:numRef>
          </c:val>
          <c:smooth val="0"/>
          <c:extLst xmlns:c16r2="http://schemas.microsoft.com/office/drawing/2015/06/chart">
            <c:ext xmlns:c16="http://schemas.microsoft.com/office/drawing/2014/chart" uri="{C3380CC4-5D6E-409C-BE32-E72D297353CC}">
              <c16:uniqueId val="{00000002-18EC-4FCE-AB19-41937F289EA6}"/>
            </c:ext>
          </c:extLst>
        </c:ser>
        <c:dLbls>
          <c:showLegendKey val="0"/>
          <c:showVal val="0"/>
          <c:showCatName val="0"/>
          <c:showSerName val="0"/>
          <c:showPercent val="0"/>
          <c:showBubbleSize val="0"/>
        </c:dLbls>
        <c:smooth val="0"/>
        <c:axId val="346261248"/>
        <c:axId val="346261808"/>
      </c:lineChart>
      <c:catAx>
        <c:axId val="346261248"/>
        <c:scaling>
          <c:orientation val="minMax"/>
        </c:scaling>
        <c:delete val="0"/>
        <c:axPos val="b"/>
        <c:numFmt formatCode="General" sourceLinked="1"/>
        <c:majorTickMark val="out"/>
        <c:minorTickMark val="none"/>
        <c:tickLblPos val="nextTo"/>
        <c:crossAx val="346261808"/>
        <c:crosses val="autoZero"/>
        <c:auto val="1"/>
        <c:lblAlgn val="ctr"/>
        <c:lblOffset val="100"/>
        <c:noMultiLvlLbl val="0"/>
      </c:catAx>
      <c:valAx>
        <c:axId val="346261808"/>
        <c:scaling>
          <c:orientation val="minMax"/>
        </c:scaling>
        <c:delete val="0"/>
        <c:axPos val="l"/>
        <c:majorGridlines/>
        <c:numFmt formatCode="0" sourceLinked="1"/>
        <c:majorTickMark val="out"/>
        <c:minorTickMark val="none"/>
        <c:tickLblPos val="nextTo"/>
        <c:crossAx val="346261248"/>
        <c:crosses val="autoZero"/>
        <c:crossBetween val="between"/>
      </c:valAx>
    </c:plotArea>
    <c:legend>
      <c:legendPos val="b"/>
      <c:overlay val="0"/>
    </c:legend>
    <c:plotVisOnly val="1"/>
    <c:dispBlanksAs val="gap"/>
    <c:showDLblsOverMax val="0"/>
  </c:chart>
  <c:txPr>
    <a:bodyPr/>
    <a:lstStyle/>
    <a:p>
      <a:pPr>
        <a:defRPr sz="18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Графики!$A$103</c:f>
              <c:strCache>
                <c:ptCount val="1"/>
                <c:pt idx="0">
                  <c:v>Доходы от продажи жилья</c:v>
                </c:pt>
              </c:strCache>
            </c:strRef>
          </c:tx>
          <c:invertIfNegative val="0"/>
          <c:cat>
            <c:numRef>
              <c:f>Графики!$B$102:$K$102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Графики!$B$103:$K$103</c:f>
              <c:numCache>
                <c:formatCode>0</c:formatCode>
                <c:ptCount val="10"/>
                <c:pt idx="0">
                  <c:v>0</c:v>
                </c:pt>
                <c:pt idx="1">
                  <c:v>0</c:v>
                </c:pt>
                <c:pt idx="2">
                  <c:v>0</c:v>
                </c:pt>
                <c:pt idx="3">
                  <c:v>1237.1900033925122</c:v>
                </c:pt>
                <c:pt idx="4">
                  <c:v>1358.1350351142914</c:v>
                </c:pt>
                <c:pt idx="5">
                  <c:v>1412.4604365188632</c:v>
                </c:pt>
                <c:pt idx="6">
                  <c:v>1468.9588539796177</c:v>
                </c:pt>
                <c:pt idx="7">
                  <c:v>1527.7172081388026</c:v>
                </c:pt>
                <c:pt idx="8">
                  <c:v>1588.8258964643546</c:v>
                </c:pt>
                <c:pt idx="9">
                  <c:v>0</c:v>
                </c:pt>
              </c:numCache>
            </c:numRef>
          </c:val>
          <c:extLst xmlns:c16r2="http://schemas.microsoft.com/office/drawing/2015/06/chart">
            <c:ext xmlns:c16="http://schemas.microsoft.com/office/drawing/2014/chart" uri="{C3380CC4-5D6E-409C-BE32-E72D297353CC}">
              <c16:uniqueId val="{00000000-8709-4466-947B-0BEC675D2094}"/>
            </c:ext>
          </c:extLst>
        </c:ser>
        <c:ser>
          <c:idx val="1"/>
          <c:order val="1"/>
          <c:tx>
            <c:strRef>
              <c:f>Графики!$A$104</c:f>
              <c:strCache>
                <c:ptCount val="1"/>
                <c:pt idx="0">
                  <c:v>Доходы от продажи парковочных мест</c:v>
                </c:pt>
              </c:strCache>
            </c:strRef>
          </c:tx>
          <c:invertIfNegative val="0"/>
          <c:cat>
            <c:numRef>
              <c:f>Графики!$B$102:$K$102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Графики!$B$104:$K$104</c:f>
              <c:numCache>
                <c:formatCode>0</c:formatCode>
                <c:ptCount val="10"/>
                <c:pt idx="0">
                  <c:v>0</c:v>
                </c:pt>
                <c:pt idx="1">
                  <c:v>0</c:v>
                </c:pt>
                <c:pt idx="2">
                  <c:v>0</c:v>
                </c:pt>
                <c:pt idx="3">
                  <c:v>252.47887441920008</c:v>
                </c:pt>
                <c:pt idx="4">
                  <c:v>262.57802939596809</c:v>
                </c:pt>
                <c:pt idx="5">
                  <c:v>273.0811505718068</c:v>
                </c:pt>
                <c:pt idx="6">
                  <c:v>284.00439659467912</c:v>
                </c:pt>
                <c:pt idx="7">
                  <c:v>295.36457245846628</c:v>
                </c:pt>
                <c:pt idx="8">
                  <c:v>307.17915535680493</c:v>
                </c:pt>
                <c:pt idx="9">
                  <c:v>0</c:v>
                </c:pt>
              </c:numCache>
            </c:numRef>
          </c:val>
          <c:extLst xmlns:c16r2="http://schemas.microsoft.com/office/drawing/2015/06/chart">
            <c:ext xmlns:c16="http://schemas.microsoft.com/office/drawing/2014/chart" uri="{C3380CC4-5D6E-409C-BE32-E72D297353CC}">
              <c16:uniqueId val="{00000001-8709-4466-947B-0BEC675D2094}"/>
            </c:ext>
          </c:extLst>
        </c:ser>
        <c:ser>
          <c:idx val="2"/>
          <c:order val="2"/>
          <c:tx>
            <c:strRef>
              <c:f>Графики!$A$105</c:f>
              <c:strCache>
                <c:ptCount val="1"/>
                <c:pt idx="0">
                  <c:v>Доходы от продажи коммерческих помещений</c:v>
                </c:pt>
              </c:strCache>
            </c:strRef>
          </c:tx>
          <c:invertIfNegative val="0"/>
          <c:cat>
            <c:numRef>
              <c:f>Графики!$B$102:$K$102</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Графики!$B$105:$K$105</c:f>
              <c:numCache>
                <c:formatCode>0</c:formatCode>
                <c:ptCount val="10"/>
                <c:pt idx="0">
                  <c:v>0</c:v>
                </c:pt>
                <c:pt idx="1">
                  <c:v>0</c:v>
                </c:pt>
                <c:pt idx="2">
                  <c:v>0</c:v>
                </c:pt>
                <c:pt idx="3">
                  <c:v>227.42050406400003</c:v>
                </c:pt>
                <c:pt idx="4">
                  <c:v>236.51732422656005</c:v>
                </c:pt>
                <c:pt idx="5">
                  <c:v>245.97801719562247</c:v>
                </c:pt>
                <c:pt idx="6">
                  <c:v>255.81713788344737</c:v>
                </c:pt>
                <c:pt idx="7">
                  <c:v>266.04982339878529</c:v>
                </c:pt>
                <c:pt idx="8">
                  <c:v>276.69181633473676</c:v>
                </c:pt>
                <c:pt idx="9">
                  <c:v>1198.9978707838591</c:v>
                </c:pt>
              </c:numCache>
            </c:numRef>
          </c:val>
          <c:extLst xmlns:c16r2="http://schemas.microsoft.com/office/drawing/2015/06/chart">
            <c:ext xmlns:c16="http://schemas.microsoft.com/office/drawing/2014/chart" uri="{C3380CC4-5D6E-409C-BE32-E72D297353CC}">
              <c16:uniqueId val="{00000002-8709-4466-947B-0BEC675D2094}"/>
            </c:ext>
          </c:extLst>
        </c:ser>
        <c:dLbls>
          <c:showLegendKey val="0"/>
          <c:showVal val="0"/>
          <c:showCatName val="0"/>
          <c:showSerName val="0"/>
          <c:showPercent val="0"/>
          <c:showBubbleSize val="0"/>
        </c:dLbls>
        <c:gapWidth val="150"/>
        <c:overlap val="100"/>
        <c:axId val="346265728"/>
        <c:axId val="346266288"/>
      </c:barChart>
      <c:catAx>
        <c:axId val="346265728"/>
        <c:scaling>
          <c:orientation val="minMax"/>
        </c:scaling>
        <c:delete val="0"/>
        <c:axPos val="b"/>
        <c:numFmt formatCode="General" sourceLinked="1"/>
        <c:majorTickMark val="out"/>
        <c:minorTickMark val="none"/>
        <c:tickLblPos val="nextTo"/>
        <c:crossAx val="346266288"/>
        <c:crosses val="autoZero"/>
        <c:auto val="1"/>
        <c:lblAlgn val="ctr"/>
        <c:lblOffset val="100"/>
        <c:noMultiLvlLbl val="0"/>
      </c:catAx>
      <c:valAx>
        <c:axId val="346266288"/>
        <c:scaling>
          <c:orientation val="minMax"/>
        </c:scaling>
        <c:delete val="0"/>
        <c:axPos val="l"/>
        <c:majorGridlines/>
        <c:numFmt formatCode="0" sourceLinked="1"/>
        <c:majorTickMark val="out"/>
        <c:minorTickMark val="none"/>
        <c:tickLblPos val="nextTo"/>
        <c:crossAx val="346265728"/>
        <c:crosses val="autoZero"/>
        <c:crossBetween val="between"/>
      </c:valAx>
    </c:plotArea>
    <c:legend>
      <c:legendPos val="r"/>
      <c:overlay val="0"/>
    </c:legend>
    <c:plotVisOnly val="1"/>
    <c:dispBlanksAs val="gap"/>
    <c:showDLblsOverMax val="0"/>
  </c:chart>
  <c:txPr>
    <a:bodyPr/>
    <a:lstStyle/>
    <a:p>
      <a:pPr>
        <a:defRPr sz="16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Распределение прироста капитализации территории, млн руб.</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6274270515467455E-2"/>
          <c:y val="0.22559713404759035"/>
          <c:w val="0.54495840564051656"/>
          <c:h val="0.6753569475079122"/>
        </c:manualLayout>
      </c:layout>
      <c:pie3DChart>
        <c:varyColors val="1"/>
        <c:ser>
          <c:idx val="0"/>
          <c:order val="0"/>
          <c:explosion val="25"/>
          <c:dLbls>
            <c:spPr>
              <a:noFill/>
              <a:ln>
                <a:noFill/>
              </a:ln>
              <a:effectLst/>
            </c:sp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Графики!$A$122:$A$125</c:f>
              <c:strCache>
                <c:ptCount val="4"/>
                <c:pt idx="0">
                  <c:v>Стоимость зданий, инфраструктуры, благоустройства</c:v>
                </c:pt>
                <c:pt idx="1">
                  <c:v>Жители территории, переселяемые из сносимых домов, и собственники нежилых помещений (новое жилье+компенсации)</c:v>
                </c:pt>
                <c:pt idx="2">
                  <c:v>Застройщик (максимальная чистая прибыль от реализации проекта с учетом упущенной выгоды)</c:v>
                </c:pt>
                <c:pt idx="3">
                  <c:v>Бюджетные доходы по налогу на прибыль и НДС</c:v>
                </c:pt>
              </c:strCache>
            </c:strRef>
          </c:cat>
          <c:val>
            <c:numRef>
              <c:f>Графики!$B$122:$B$125</c:f>
              <c:numCache>
                <c:formatCode>0</c:formatCode>
                <c:ptCount val="4"/>
                <c:pt idx="0">
                  <c:v>5627.6279999999997</c:v>
                </c:pt>
                <c:pt idx="1">
                  <c:v>486.82756923076931</c:v>
                </c:pt>
                <c:pt idx="2">
                  <c:v>2362.9499624591203</c:v>
                </c:pt>
                <c:pt idx="3">
                  <c:v>913.24246831010976</c:v>
                </c:pt>
              </c:numCache>
            </c:numRef>
          </c:val>
          <c:extLst xmlns:c16r2="http://schemas.microsoft.com/office/drawing/2015/06/chart">
            <c:ext xmlns:c16="http://schemas.microsoft.com/office/drawing/2014/chart" uri="{C3380CC4-5D6E-409C-BE32-E72D297353CC}">
              <c16:uniqueId val="{00000000-3974-4F6E-B9BA-60641DA33021}"/>
            </c:ext>
          </c:extLst>
        </c:ser>
        <c:dLbls>
          <c:showLegendKey val="0"/>
          <c:showVal val="1"/>
          <c:showCatName val="0"/>
          <c:showSerName val="0"/>
          <c:showPercent val="0"/>
          <c:showBubbleSize val="0"/>
          <c:showLeaderLines val="1"/>
        </c:dLbls>
      </c:pie3DChart>
    </c:plotArea>
    <c:legend>
      <c:legendPos val="r"/>
      <c:layout>
        <c:manualLayout>
          <c:xMode val="edge"/>
          <c:yMode val="edge"/>
          <c:x val="0.6407744789776687"/>
          <c:y val="0.20307432181723734"/>
          <c:w val="0.34709759170222132"/>
          <c:h val="0.63741546883302769"/>
        </c:manualLayout>
      </c:layout>
      <c:overlay val="0"/>
      <c:txPr>
        <a:bodyPr/>
        <a:lstStyle/>
        <a:p>
          <a:pPr>
            <a:defRPr sz="1200"/>
          </a:pPr>
          <a:endParaRPr lang="ru-RU"/>
        </a:p>
      </c:txPr>
    </c:legend>
    <c:plotVisOnly val="1"/>
    <c:dispBlanksAs val="zero"/>
    <c:showDLblsOverMax val="0"/>
  </c:chart>
  <c:txPr>
    <a:bodyPr/>
    <a:lstStyle/>
    <a:p>
      <a:pPr>
        <a:defRPr sz="16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u="none" strike="noStrike" baseline="0">
                <a:effectLst/>
              </a:rPr>
              <a:t>Совокупная капитализация, млн руб. </a:t>
            </a:r>
            <a:endParaRPr lang="ru-RU"/>
          </a:p>
        </c:rich>
      </c:tx>
      <c:layout>
        <c:manualLayout>
          <c:xMode val="edge"/>
          <c:yMode val="edge"/>
          <c:x val="0.29436411593321538"/>
          <c:y val="8.6983501216056722E-3"/>
        </c:manualLayout>
      </c:layout>
      <c:overlay val="0"/>
    </c:title>
    <c:autoTitleDeleted val="0"/>
    <c:plotArea>
      <c:layout/>
      <c:barChart>
        <c:barDir val="col"/>
        <c:grouping val="clustered"/>
        <c:varyColors val="0"/>
        <c:ser>
          <c:idx val="0"/>
          <c:order val="0"/>
          <c:invertIfNegative val="0"/>
          <c:cat>
            <c:numRef>
              <c:f>Графики!$A$150:$K$150</c:f>
              <c:numCache>
                <c:formatCode>General</c:formatCode>
                <c:ptCount val="11"/>
                <c:pt idx="0">
                  <c:v>2021</c:v>
                </c:pt>
                <c:pt idx="1">
                  <c:v>2022</c:v>
                </c:pt>
                <c:pt idx="2">
                  <c:v>2023</c:v>
                </c:pt>
                <c:pt idx="3">
                  <c:v>2024</c:v>
                </c:pt>
                <c:pt idx="4">
                  <c:v>2025</c:v>
                </c:pt>
                <c:pt idx="5">
                  <c:v>2026</c:v>
                </c:pt>
                <c:pt idx="6">
                  <c:v>2027</c:v>
                </c:pt>
                <c:pt idx="7">
                  <c:v>2028</c:v>
                </c:pt>
                <c:pt idx="8">
                  <c:v>2029</c:v>
                </c:pt>
                <c:pt idx="9">
                  <c:v>2030</c:v>
                </c:pt>
                <c:pt idx="10">
                  <c:v>2031</c:v>
                </c:pt>
              </c:numCache>
            </c:numRef>
          </c:cat>
          <c:val>
            <c:numRef>
              <c:f>Графики!$A$151:$K$151</c:f>
              <c:numCache>
                <c:formatCode>0</c:formatCode>
                <c:ptCount val="11"/>
                <c:pt idx="0">
                  <c:v>578.40000000000009</c:v>
                </c:pt>
                <c:pt idx="1">
                  <c:v>63.715999999999973</c:v>
                </c:pt>
                <c:pt idx="2">
                  <c:v>63.715999999999973</c:v>
                </c:pt>
                <c:pt idx="3">
                  <c:v>63.715999999999973</c:v>
                </c:pt>
                <c:pt idx="4">
                  <c:v>1590.2240000000002</c:v>
                </c:pt>
                <c:pt idx="5">
                  <c:v>3053.0160000000005</c:v>
                </c:pt>
                <c:pt idx="6">
                  <c:v>4579.5240000000003</c:v>
                </c:pt>
                <c:pt idx="7">
                  <c:v>6106.0320000000011</c:v>
                </c:pt>
                <c:pt idx="8">
                  <c:v>7632.5400000000009</c:v>
                </c:pt>
                <c:pt idx="9">
                  <c:v>9159.0480000000007</c:v>
                </c:pt>
                <c:pt idx="10">
                  <c:v>9969.0480000000007</c:v>
                </c:pt>
              </c:numCache>
            </c:numRef>
          </c:val>
          <c:extLst xmlns:c16r2="http://schemas.microsoft.com/office/drawing/2015/06/chart">
            <c:ext xmlns:c16="http://schemas.microsoft.com/office/drawing/2014/chart" uri="{C3380CC4-5D6E-409C-BE32-E72D297353CC}">
              <c16:uniqueId val="{00000000-BF1A-426A-B4A3-B27C2B5E13CB}"/>
            </c:ext>
          </c:extLst>
        </c:ser>
        <c:dLbls>
          <c:showLegendKey val="0"/>
          <c:showVal val="0"/>
          <c:showCatName val="0"/>
          <c:showSerName val="0"/>
          <c:showPercent val="0"/>
          <c:showBubbleSize val="0"/>
        </c:dLbls>
        <c:gapWidth val="150"/>
        <c:axId val="337177904"/>
        <c:axId val="337178464"/>
      </c:barChart>
      <c:catAx>
        <c:axId val="337177904"/>
        <c:scaling>
          <c:orientation val="minMax"/>
        </c:scaling>
        <c:delete val="0"/>
        <c:axPos val="b"/>
        <c:numFmt formatCode="General" sourceLinked="1"/>
        <c:majorTickMark val="out"/>
        <c:minorTickMark val="none"/>
        <c:tickLblPos val="nextTo"/>
        <c:crossAx val="337178464"/>
        <c:crosses val="autoZero"/>
        <c:auto val="1"/>
        <c:lblAlgn val="ctr"/>
        <c:lblOffset val="100"/>
        <c:noMultiLvlLbl val="0"/>
      </c:catAx>
      <c:valAx>
        <c:axId val="337178464"/>
        <c:scaling>
          <c:orientation val="minMax"/>
        </c:scaling>
        <c:delete val="0"/>
        <c:axPos val="l"/>
        <c:majorGridlines/>
        <c:numFmt formatCode="0" sourceLinked="1"/>
        <c:majorTickMark val="out"/>
        <c:minorTickMark val="none"/>
        <c:tickLblPos val="nextTo"/>
        <c:crossAx val="33717790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Графики!$A$168</c:f>
              <c:strCache>
                <c:ptCount val="1"/>
                <c:pt idx="0">
                  <c:v>Чистые доходы местного бюджета </c:v>
                </c:pt>
              </c:strCache>
            </c:strRef>
          </c:tx>
          <c:cat>
            <c:numRef>
              <c:f>Графики!$B$167:$K$167</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Графики!$B$168:$K$168</c:f>
              <c:numCache>
                <c:formatCode>0.0</c:formatCode>
                <c:ptCount val="10"/>
                <c:pt idx="0">
                  <c:v>0</c:v>
                </c:pt>
                <c:pt idx="1">
                  <c:v>0</c:v>
                </c:pt>
                <c:pt idx="2">
                  <c:v>0</c:v>
                </c:pt>
                <c:pt idx="3">
                  <c:v>-2.2595490526003204</c:v>
                </c:pt>
                <c:pt idx="4">
                  <c:v>-4.5572441044156431</c:v>
                </c:pt>
                <c:pt idx="5">
                  <c:v>-6.8925215568990046</c:v>
                </c:pt>
                <c:pt idx="6">
                  <c:v>-9.264711690020949</c:v>
                </c:pt>
                <c:pt idx="7">
                  <c:v>-11.673031074308586</c:v>
                </c:pt>
                <c:pt idx="8">
                  <c:v>-14.116574545642177</c:v>
                </c:pt>
                <c:pt idx="9">
                  <c:v>-11.93675952431494</c:v>
                </c:pt>
              </c:numCache>
            </c:numRef>
          </c:val>
          <c:smooth val="0"/>
          <c:extLst xmlns:c16r2="http://schemas.microsoft.com/office/drawing/2015/06/chart">
            <c:ext xmlns:c16="http://schemas.microsoft.com/office/drawing/2014/chart" uri="{C3380CC4-5D6E-409C-BE32-E72D297353CC}">
              <c16:uniqueId val="{00000000-0980-43DE-AE57-51316EC6B88B}"/>
            </c:ext>
          </c:extLst>
        </c:ser>
        <c:ser>
          <c:idx val="2"/>
          <c:order val="1"/>
          <c:tx>
            <c:strRef>
              <c:f>Графики!$A$169</c:f>
              <c:strCache>
                <c:ptCount val="1"/>
                <c:pt idx="0">
                  <c:v>Чистые доходы регионального бюджета </c:v>
                </c:pt>
              </c:strCache>
            </c:strRef>
          </c:tx>
          <c:cat>
            <c:numRef>
              <c:f>Графики!$B$167:$K$167</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Графики!$B$169:$K$169</c:f>
              <c:numCache>
                <c:formatCode>0.0</c:formatCode>
                <c:ptCount val="10"/>
                <c:pt idx="0">
                  <c:v>0</c:v>
                </c:pt>
                <c:pt idx="1">
                  <c:v>0</c:v>
                </c:pt>
                <c:pt idx="2">
                  <c:v>0</c:v>
                </c:pt>
                <c:pt idx="3">
                  <c:v>7.2976712859648014</c:v>
                </c:pt>
                <c:pt idx="4">
                  <c:v>15.179156274806786</c:v>
                </c:pt>
                <c:pt idx="5">
                  <c:v>23.67948378869859</c:v>
                </c:pt>
                <c:pt idx="6">
                  <c:v>32.835550853662049</c:v>
                </c:pt>
                <c:pt idx="7">
                  <c:v>42.686216109760672</c:v>
                </c:pt>
                <c:pt idx="8">
                  <c:v>53.272397704981316</c:v>
                </c:pt>
                <c:pt idx="9">
                  <c:v>79.383251028857757</c:v>
                </c:pt>
              </c:numCache>
            </c:numRef>
          </c:val>
          <c:smooth val="0"/>
          <c:extLst xmlns:c16r2="http://schemas.microsoft.com/office/drawing/2015/06/chart">
            <c:ext xmlns:c16="http://schemas.microsoft.com/office/drawing/2014/chart" uri="{C3380CC4-5D6E-409C-BE32-E72D297353CC}">
              <c16:uniqueId val="{00000001-0980-43DE-AE57-51316EC6B88B}"/>
            </c:ext>
          </c:extLst>
        </c:ser>
        <c:ser>
          <c:idx val="1"/>
          <c:order val="2"/>
          <c:tx>
            <c:strRef>
              <c:f>Графики!$A$170</c:f>
              <c:strCache>
                <c:ptCount val="1"/>
                <c:pt idx="0">
                  <c:v>Совокупные чистые доходы местного и регионального бюджетов</c:v>
                </c:pt>
              </c:strCache>
            </c:strRef>
          </c:tx>
          <c:cat>
            <c:numRef>
              <c:f>Графики!$B$167:$K$167</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Графики!$B$170:$K$170</c:f>
              <c:numCache>
                <c:formatCode>0.0</c:formatCode>
                <c:ptCount val="10"/>
                <c:pt idx="0">
                  <c:v>0</c:v>
                </c:pt>
                <c:pt idx="1">
                  <c:v>0</c:v>
                </c:pt>
                <c:pt idx="2">
                  <c:v>0</c:v>
                </c:pt>
                <c:pt idx="3">
                  <c:v>5.0381222333644811</c:v>
                </c:pt>
                <c:pt idx="4">
                  <c:v>10.621912170391143</c:v>
                </c:pt>
                <c:pt idx="5">
                  <c:v>16.786962231799585</c:v>
                </c:pt>
                <c:pt idx="6">
                  <c:v>23.5708391636411</c:v>
                </c:pt>
                <c:pt idx="7">
                  <c:v>31.013185035452086</c:v>
                </c:pt>
                <c:pt idx="8">
                  <c:v>39.155823159339135</c:v>
                </c:pt>
                <c:pt idx="9">
                  <c:v>67.44649150454282</c:v>
                </c:pt>
              </c:numCache>
            </c:numRef>
          </c:val>
          <c:smooth val="0"/>
          <c:extLst xmlns:c16r2="http://schemas.microsoft.com/office/drawing/2015/06/chart">
            <c:ext xmlns:c16="http://schemas.microsoft.com/office/drawing/2014/chart" uri="{C3380CC4-5D6E-409C-BE32-E72D297353CC}">
              <c16:uniqueId val="{00000001-CF93-0544-A1CF-DF8EA108B4F3}"/>
            </c:ext>
          </c:extLst>
        </c:ser>
        <c:dLbls>
          <c:showLegendKey val="0"/>
          <c:showVal val="0"/>
          <c:showCatName val="0"/>
          <c:showSerName val="0"/>
          <c:showPercent val="0"/>
          <c:showBubbleSize val="0"/>
        </c:dLbls>
        <c:marker val="1"/>
        <c:smooth val="0"/>
        <c:axId val="337181824"/>
        <c:axId val="273348976"/>
      </c:lineChart>
      <c:catAx>
        <c:axId val="337181824"/>
        <c:scaling>
          <c:orientation val="minMax"/>
        </c:scaling>
        <c:delete val="0"/>
        <c:axPos val="b"/>
        <c:numFmt formatCode="General" sourceLinked="1"/>
        <c:majorTickMark val="out"/>
        <c:minorTickMark val="none"/>
        <c:tickLblPos val="nextTo"/>
        <c:crossAx val="273348976"/>
        <c:crosses val="autoZero"/>
        <c:auto val="1"/>
        <c:lblAlgn val="ctr"/>
        <c:lblOffset val="100"/>
        <c:noMultiLvlLbl val="0"/>
      </c:catAx>
      <c:valAx>
        <c:axId val="273348976"/>
        <c:scaling>
          <c:orientation val="minMax"/>
        </c:scaling>
        <c:delete val="0"/>
        <c:axPos val="l"/>
        <c:majorGridlines/>
        <c:numFmt formatCode="0.0" sourceLinked="1"/>
        <c:majorTickMark val="out"/>
        <c:minorTickMark val="none"/>
        <c:tickLblPos val="nextTo"/>
        <c:crossAx val="337181824"/>
        <c:crosses val="autoZero"/>
        <c:crossBetween val="between"/>
      </c:valAx>
    </c:plotArea>
    <c:legend>
      <c:legendPos val="r"/>
      <c:overlay val="0"/>
    </c:legend>
    <c:plotVisOnly val="1"/>
    <c:dispBlanksAs val="gap"/>
    <c:showDLblsOverMax val="0"/>
  </c:chart>
  <c:txPr>
    <a:bodyPr/>
    <a:lstStyle/>
    <a:p>
      <a:pPr>
        <a:defRPr sz="1400">
          <a:latin typeface="Arial" panose="020B0604020202020204" pitchFamily="34" charset="0"/>
          <a:cs typeface="Arial" panose="020B0604020202020204" pitchFamily="34" charset="0"/>
        </a:defRPr>
      </a:pPr>
      <a:endParaRPr lang="ru-RU"/>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408213</xdr:colOff>
      <xdr:row>10</xdr:row>
      <xdr:rowOff>105656</xdr:rowOff>
    </xdr:from>
    <xdr:to>
      <xdr:col>25</xdr:col>
      <xdr:colOff>666749</xdr:colOff>
      <xdr:row>25</xdr:row>
      <xdr:rowOff>149678</xdr:rowOff>
    </xdr:to>
    <xdr:graphicFrame macro="">
      <xdr:nvGraphicFramePr>
        <xdr:cNvPr id="3" name="Диаграмма 2">
          <a:extLst>
            <a:ext uri="{FF2B5EF4-FFF2-40B4-BE49-F238E27FC236}">
              <a16:creationId xmlns:a16="http://schemas.microsoft.com/office/drawing/2014/main" xmlns="" id="{43D2BEBB-2B8E-4D12-B9EE-CD456EBAC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307362</xdr:colOff>
      <xdr:row>28</xdr:row>
      <xdr:rowOff>54427</xdr:rowOff>
    </xdr:from>
    <xdr:to>
      <xdr:col>25</xdr:col>
      <xdr:colOff>653144</xdr:colOff>
      <xdr:row>37</xdr:row>
      <xdr:rowOff>136070</xdr:rowOff>
    </xdr:to>
    <xdr:graphicFrame macro="">
      <xdr:nvGraphicFramePr>
        <xdr:cNvPr id="4" name="Диаграмма 3">
          <a:extLst>
            <a:ext uri="{FF2B5EF4-FFF2-40B4-BE49-F238E27FC236}">
              <a16:creationId xmlns:a16="http://schemas.microsoft.com/office/drawing/2014/main" xmlns="" id="{25B2D785-EE1B-440D-8261-9B9C65DB4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3199</xdr:colOff>
      <xdr:row>42</xdr:row>
      <xdr:rowOff>0</xdr:rowOff>
    </xdr:from>
    <xdr:to>
      <xdr:col>26</xdr:col>
      <xdr:colOff>54428</xdr:colOff>
      <xdr:row>42</xdr:row>
      <xdr:rowOff>67235</xdr:rowOff>
    </xdr:to>
    <xdr:graphicFrame macro="">
      <xdr:nvGraphicFramePr>
        <xdr:cNvPr id="5" name="Диаграмма 4">
          <a:extLst>
            <a:ext uri="{FF2B5EF4-FFF2-40B4-BE49-F238E27FC236}">
              <a16:creationId xmlns:a16="http://schemas.microsoft.com/office/drawing/2014/main" xmlns="" id="{00987BA5-0D53-4364-ACDE-7FEB35CA2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92848</xdr:colOff>
      <xdr:row>60</xdr:row>
      <xdr:rowOff>27216</xdr:rowOff>
    </xdr:from>
    <xdr:to>
      <xdr:col>30</xdr:col>
      <xdr:colOff>517071</xdr:colOff>
      <xdr:row>70</xdr:row>
      <xdr:rowOff>94450</xdr:rowOff>
    </xdr:to>
    <xdr:graphicFrame macro="">
      <xdr:nvGraphicFramePr>
        <xdr:cNvPr id="6" name="Диаграмма 5">
          <a:extLst>
            <a:ext uri="{FF2B5EF4-FFF2-40B4-BE49-F238E27FC236}">
              <a16:creationId xmlns:a16="http://schemas.microsoft.com/office/drawing/2014/main" xmlns="" id="{ED7790EC-CE95-4208-B4BC-FC6884474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94449</xdr:colOff>
      <xdr:row>72</xdr:row>
      <xdr:rowOff>164086</xdr:rowOff>
    </xdr:from>
    <xdr:to>
      <xdr:col>30</xdr:col>
      <xdr:colOff>476250</xdr:colOff>
      <xdr:row>90</xdr:row>
      <xdr:rowOff>96851</xdr:rowOff>
    </xdr:to>
    <xdr:graphicFrame macro="">
      <xdr:nvGraphicFramePr>
        <xdr:cNvPr id="7" name="Диаграмма 6">
          <a:extLst>
            <a:ext uri="{FF2B5EF4-FFF2-40B4-BE49-F238E27FC236}">
              <a16:creationId xmlns:a16="http://schemas.microsoft.com/office/drawing/2014/main" xmlns="" id="{90E6492C-B8C0-4E1D-B2E0-C2DC80278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108857</xdr:colOff>
      <xdr:row>98</xdr:row>
      <xdr:rowOff>112060</xdr:rowOff>
    </xdr:from>
    <xdr:to>
      <xdr:col>30</xdr:col>
      <xdr:colOff>408214</xdr:colOff>
      <xdr:row>115</xdr:row>
      <xdr:rowOff>68036</xdr:rowOff>
    </xdr:to>
    <xdr:graphicFrame macro="">
      <xdr:nvGraphicFramePr>
        <xdr:cNvPr id="8" name="Диаграмма 7">
          <a:extLst>
            <a:ext uri="{FF2B5EF4-FFF2-40B4-BE49-F238E27FC236}">
              <a16:creationId xmlns:a16="http://schemas.microsoft.com/office/drawing/2014/main" xmlns="" id="{6DD0FC6B-4553-49D5-9030-85A369F33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136071</xdr:colOff>
      <xdr:row>118</xdr:row>
      <xdr:rowOff>163286</xdr:rowOff>
    </xdr:from>
    <xdr:to>
      <xdr:col>30</xdr:col>
      <xdr:colOff>312964</xdr:colOff>
      <xdr:row>124</xdr:row>
      <xdr:rowOff>748393</xdr:rowOff>
    </xdr:to>
    <xdr:graphicFrame macro="">
      <xdr:nvGraphicFramePr>
        <xdr:cNvPr id="9" name="Диаграмма 8">
          <a:extLst>
            <a:ext uri="{FF2B5EF4-FFF2-40B4-BE49-F238E27FC236}">
              <a16:creationId xmlns:a16="http://schemas.microsoft.com/office/drawing/2014/main" xmlns="" id="{200DCB98-0FF9-4C09-919F-94F9F9EAC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184728</xdr:colOff>
      <xdr:row>143</xdr:row>
      <xdr:rowOff>46182</xdr:rowOff>
    </xdr:from>
    <xdr:to>
      <xdr:col>30</xdr:col>
      <xdr:colOff>108858</xdr:colOff>
      <xdr:row>159</xdr:row>
      <xdr:rowOff>180974</xdr:rowOff>
    </xdr:to>
    <xdr:graphicFrame macro="">
      <xdr:nvGraphicFramePr>
        <xdr:cNvPr id="11" name="Диаграмма 10">
          <a:extLst>
            <a:ext uri="{FF2B5EF4-FFF2-40B4-BE49-F238E27FC236}">
              <a16:creationId xmlns:a16="http://schemas.microsoft.com/office/drawing/2014/main" xmlns="" id="{D1A16800-3F9D-4CA0-B00C-1330CED1D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299357</xdr:colOff>
      <xdr:row>162</xdr:row>
      <xdr:rowOff>35380</xdr:rowOff>
    </xdr:from>
    <xdr:to>
      <xdr:col>30</xdr:col>
      <xdr:colOff>108857</xdr:colOff>
      <xdr:row>180</xdr:row>
      <xdr:rowOff>108857</xdr:rowOff>
    </xdr:to>
    <xdr:graphicFrame macro="">
      <xdr:nvGraphicFramePr>
        <xdr:cNvPr id="12" name="Диаграмма 11">
          <a:extLst>
            <a:ext uri="{FF2B5EF4-FFF2-40B4-BE49-F238E27FC236}">
              <a16:creationId xmlns:a16="http://schemas.microsoft.com/office/drawing/2014/main" xmlns="" id="{FC7230B4-A108-40BE-9E30-8B3278336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489856</xdr:colOff>
      <xdr:row>128</xdr:row>
      <xdr:rowOff>145594</xdr:rowOff>
    </xdr:from>
    <xdr:to>
      <xdr:col>29</xdr:col>
      <xdr:colOff>40820</xdr:colOff>
      <xdr:row>140</xdr:row>
      <xdr:rowOff>136072</xdr:rowOff>
    </xdr:to>
    <xdr:graphicFrame macro="">
      <xdr:nvGraphicFramePr>
        <xdr:cNvPr id="13" name="Диаграмма 12">
          <a:extLst>
            <a:ext uri="{FF2B5EF4-FFF2-40B4-BE49-F238E27FC236}">
              <a16:creationId xmlns:a16="http://schemas.microsoft.com/office/drawing/2014/main" xmlns="" id="{BC312B36-D5E5-425C-BF0F-60F02213D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230249</xdr:colOff>
      <xdr:row>45</xdr:row>
      <xdr:rowOff>32822</xdr:rowOff>
    </xdr:from>
    <xdr:to>
      <xdr:col>31</xdr:col>
      <xdr:colOff>669637</xdr:colOff>
      <xdr:row>57</xdr:row>
      <xdr:rowOff>16492</xdr:rowOff>
    </xdr:to>
    <xdr:graphicFrame macro="">
      <xdr:nvGraphicFramePr>
        <xdr:cNvPr id="15" name="Диаграмма 14">
          <a:extLst>
            <a:ext uri="{FF2B5EF4-FFF2-40B4-BE49-F238E27FC236}">
              <a16:creationId xmlns:a16="http://schemas.microsoft.com/office/drawing/2014/main" xmlns="" id="{AF262C06-89B0-41B2-A246-1F963960BA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polidi/Desktop/&#1044;&#1054;&#1050;&#1059;&#1052;&#1045;&#1053;&#1058;&#1067;/&#1056;&#1077;&#1085;&#1086;&#1074;&#1072;&#1094;&#1080;&#1103;%20&#1055;&#1088;&#1086;&#1089;&#1087;&#1077;&#1082;&#1090;&#1072;%20&#1042;&#1077;&#1088;&#1085;&#1072;&#1076;&#1089;&#1082;&#1086;&#1075;&#1086;/Valley%20model%20template%20v0.11%20(+%20&#1043;&#1088;&#1080;)%20&#1057;&#1048;&#1058;&#104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sers/Alex/Documents/&#1060;&#1086;&#1085;&#1076;%20&#1046;&#1050;&#1061;/&#1084;&#1086;&#1076;&#1077;&#1083;&#1080;%20&#1087;&#1086;%20&#1041;&#1072;&#1082;&#1091;%20&#1080;%20&#1045;&#1082;&#1072;&#1090;&#1077;&#1088;&#1080;&#1085;&#1073;&#1091;&#1088;&#1075;&#1091;/&#1050;&#1086;&#1087;&#1080;&#1103;%20&#1069;&#1082;&#1086;&#1085;&#1086;&#1084;&#1080;&#1095;&#1077;&#1089;&#1082;&#1072;&#1103;%20&#1084;&#1086;&#1076;&#1077;&#1083;&#1100;%20&#1087;&#1088;&#1086;&#1077;&#1082;&#1090;&#1072;%20&#1088;&#1077;&#1076;&#1077;&#1074;&#1077;&#1083;&#1086;&#1087;&#1084;&#1077;&#1085;&#1090;&#1072;%20&#1074;%20&#1041;&#1072;&#1082;&#1091;%20(20.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GeneralAssum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Покомпон. ст-ть строительствтва"/>
      <sheetName val="Исх. данные и предпосылки"/>
      <sheetName val="Свод показателей эффективности"/>
      <sheetName val="Планировочное решение А"/>
      <sheetName val="Модель А"/>
      <sheetName val="Графики А"/>
      <sheetName val="Планировочное решение А1"/>
      <sheetName val="Модель А1"/>
      <sheetName val="Графики А1"/>
      <sheetName val="Планировочное решение B"/>
      <sheetName val="Модель B"/>
      <sheetName val="Графики B"/>
      <sheetName val="Планировочное решение C"/>
      <sheetName val="Модель С"/>
      <sheetName val="Графики C"/>
      <sheetName val="Планировочное решение D"/>
      <sheetName val="Модель D"/>
      <sheetName val="Графики D"/>
    </sheetNames>
    <sheetDataSet>
      <sheetData sheetId="0" refreshError="1"/>
      <sheetData sheetId="1" refreshError="1"/>
      <sheetData sheetId="2" refreshError="1"/>
      <sheetData sheetId="3" refreshError="1"/>
      <sheetData sheetId="4" refreshError="1"/>
      <sheetData sheetId="5">
        <row r="72">
          <cell r="A72" t="str">
            <v>Общий объем инвестиций и иных расходов</v>
          </cell>
        </row>
        <row r="95">
          <cell r="A95" t="str">
            <v>Доходы от продажи жилья</v>
          </cell>
        </row>
        <row r="97">
          <cell r="A97" t="str">
            <v>Доходы от продажи парковочных мест</v>
          </cell>
        </row>
        <row r="98">
          <cell r="A98" t="str">
            <v>Доходы от продажи коммерческих помещений</v>
          </cell>
        </row>
        <row r="102">
          <cell r="A102" t="str">
            <v>Финансирование за счет собственных средств застройщика</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C8"/>
  <sheetViews>
    <sheetView zoomScale="85" zoomScaleNormal="85" workbookViewId="0">
      <selection activeCell="C9" sqref="C9"/>
    </sheetView>
  </sheetViews>
  <sheetFormatPr defaultColWidth="11.25" defaultRowHeight="27" customHeight="1" x14ac:dyDescent="0.3"/>
  <cols>
    <col min="1" max="1" width="11.25" style="125"/>
    <col min="2" max="2" width="64.25" style="125" customWidth="1"/>
    <col min="3" max="3" width="98" style="125" customWidth="1"/>
    <col min="4" max="16384" width="11.25" style="125"/>
  </cols>
  <sheetData>
    <row r="1" spans="1:3" ht="27" customHeight="1" x14ac:dyDescent="0.3">
      <c r="A1" s="69" t="s">
        <v>175</v>
      </c>
      <c r="B1" s="124"/>
      <c r="C1" s="124"/>
    </row>
    <row r="2" spans="1:3" ht="27" customHeight="1" thickBot="1" x14ac:dyDescent="0.35">
      <c r="A2" s="126" t="s">
        <v>176</v>
      </c>
      <c r="B2" s="127" t="s">
        <v>177</v>
      </c>
      <c r="C2" s="127" t="s">
        <v>178</v>
      </c>
    </row>
    <row r="3" spans="1:3" ht="31.9" customHeight="1" thickBot="1" x14ac:dyDescent="0.35">
      <c r="A3" s="128">
        <v>1</v>
      </c>
      <c r="B3" s="130" t="s">
        <v>509</v>
      </c>
      <c r="C3" s="135" t="s">
        <v>284</v>
      </c>
    </row>
    <row r="4" spans="1:3" ht="31.9" customHeight="1" thickBot="1" x14ac:dyDescent="0.35">
      <c r="A4" s="129">
        <v>2</v>
      </c>
      <c r="B4" s="130" t="s">
        <v>282</v>
      </c>
      <c r="C4" s="134" t="s">
        <v>493</v>
      </c>
    </row>
    <row r="5" spans="1:3" ht="27" customHeight="1" thickBot="1" x14ac:dyDescent="0.35">
      <c r="A5" s="133">
        <v>3</v>
      </c>
      <c r="B5" s="130" t="s">
        <v>472</v>
      </c>
      <c r="C5" s="136" t="s">
        <v>285</v>
      </c>
    </row>
    <row r="6" spans="1:3" ht="27" customHeight="1" x14ac:dyDescent="0.3">
      <c r="A6" s="131">
        <v>4</v>
      </c>
      <c r="B6" s="132" t="s">
        <v>283</v>
      </c>
      <c r="C6" s="137" t="s">
        <v>447</v>
      </c>
    </row>
    <row r="7" spans="1:3" ht="61.9" customHeight="1" thickBot="1" x14ac:dyDescent="0.35">
      <c r="A7" s="131">
        <v>5</v>
      </c>
      <c r="B7" s="258" t="s">
        <v>494</v>
      </c>
      <c r="C7" s="137" t="s">
        <v>448</v>
      </c>
    </row>
    <row r="8" spans="1:3" ht="27" customHeight="1" thickBot="1" x14ac:dyDescent="0.35">
      <c r="A8" s="131">
        <v>6</v>
      </c>
      <c r="B8" s="130" t="s">
        <v>608</v>
      </c>
      <c r="C8" s="137" t="s">
        <v>609</v>
      </c>
    </row>
  </sheetData>
  <hyperlinks>
    <hyperlink ref="B3" location="'Выбор параметров компенсаций'!A1" display="Выбор параметров компенсаций"/>
    <hyperlink ref="B4" location="'Исходные данные'!A1" display="Исходные данные "/>
    <hyperlink ref="B6" location="'Экономическая модель проекта'!A1" display="Экономическая модель проекта "/>
    <hyperlink ref="B5" location="'Градостроительная модель'!A1" display="Градостроительная модель"/>
    <hyperlink ref="B7" location="'Калькулятор чувствительности'!A1" display="Калькулятор чувствительности показателей эффективности проекта к параметрам реализиации проекта "/>
    <hyperlink ref="B8" location="Графики!A1" display="Графики"/>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sheetPr>
  <dimension ref="A1:D32"/>
  <sheetViews>
    <sheetView zoomScale="60" zoomScaleNormal="60" workbookViewId="0">
      <selection activeCell="A19" sqref="A19:XFD19"/>
    </sheetView>
  </sheetViews>
  <sheetFormatPr defaultColWidth="10.75" defaultRowHeight="15" x14ac:dyDescent="0.2"/>
  <cols>
    <col min="1" max="1" width="98" style="62" customWidth="1"/>
    <col min="2" max="2" width="28.75" style="2" customWidth="1"/>
    <col min="3" max="3" width="39.5" style="2" customWidth="1"/>
    <col min="4" max="4" width="35.25" style="2" customWidth="1"/>
    <col min="5" max="5" width="60.75" style="2" customWidth="1"/>
    <col min="6" max="16384" width="10.75" style="2"/>
  </cols>
  <sheetData>
    <row r="1" spans="1:4" x14ac:dyDescent="0.2">
      <c r="A1" s="428" t="s">
        <v>133</v>
      </c>
      <c r="B1" s="341"/>
      <c r="C1" s="341"/>
      <c r="D1" s="341"/>
    </row>
    <row r="2" spans="1:4" ht="15.75" x14ac:dyDescent="0.25">
      <c r="A2" s="428" t="s">
        <v>82</v>
      </c>
      <c r="B2" s="47" t="s">
        <v>84</v>
      </c>
      <c r="C2" s="47" t="s">
        <v>87</v>
      </c>
      <c r="D2" s="47" t="s">
        <v>88</v>
      </c>
    </row>
    <row r="3" spans="1:4" x14ac:dyDescent="0.2">
      <c r="A3" s="62" t="s">
        <v>80</v>
      </c>
      <c r="B3" s="64" t="s">
        <v>85</v>
      </c>
      <c r="D3" s="64">
        <v>2022</v>
      </c>
    </row>
    <row r="4" spans="1:4" x14ac:dyDescent="0.2">
      <c r="A4" s="62" t="s">
        <v>81</v>
      </c>
      <c r="B4" s="64" t="s">
        <v>86</v>
      </c>
      <c r="D4" s="64">
        <f>IF(C4="",10,C4)</f>
        <v>10</v>
      </c>
    </row>
    <row r="5" spans="1:4" ht="24" customHeight="1" x14ac:dyDescent="0.2">
      <c r="A5" s="62" t="s">
        <v>131</v>
      </c>
      <c r="B5" s="333" t="s">
        <v>132</v>
      </c>
      <c r="D5" s="64">
        <f>IF(C5="",5,C5)</f>
        <v>5</v>
      </c>
    </row>
    <row r="6" spans="1:4" ht="24" customHeight="1" x14ac:dyDescent="0.2">
      <c r="A6" s="62" t="s">
        <v>510</v>
      </c>
      <c r="B6" s="333"/>
      <c r="D6" s="64">
        <f>IF(C6="",1.3,C6)</f>
        <v>1.3</v>
      </c>
    </row>
    <row r="7" spans="1:4" ht="34.15" customHeight="1" x14ac:dyDescent="0.2">
      <c r="A7" s="66" t="s">
        <v>562</v>
      </c>
      <c r="D7" s="64"/>
    </row>
    <row r="8" spans="1:4" ht="33" customHeight="1" x14ac:dyDescent="0.2">
      <c r="A8" s="65" t="s">
        <v>566</v>
      </c>
      <c r="C8" s="68">
        <f>SUM(C9:C13)</f>
        <v>0</v>
      </c>
      <c r="D8" s="68">
        <f>SUM(D9:D12)</f>
        <v>1</v>
      </c>
    </row>
    <row r="9" spans="1:4" ht="46.9" customHeight="1" x14ac:dyDescent="0.2">
      <c r="A9" s="328" t="s">
        <v>511</v>
      </c>
      <c r="B9" s="67" t="s">
        <v>528</v>
      </c>
      <c r="D9" s="319">
        <f>IF(C9="",70%,C9)</f>
        <v>0.7</v>
      </c>
    </row>
    <row r="10" spans="1:4" ht="45" x14ac:dyDescent="0.2">
      <c r="A10" s="63" t="s">
        <v>512</v>
      </c>
      <c r="B10" s="67" t="s">
        <v>528</v>
      </c>
      <c r="D10" s="319">
        <f>IF(C10="",1%,C10)</f>
        <v>0.01</v>
      </c>
    </row>
    <row r="11" spans="1:4" ht="64.150000000000006" customHeight="1" x14ac:dyDescent="0.2">
      <c r="A11" s="63" t="s">
        <v>513</v>
      </c>
      <c r="B11" s="67" t="s">
        <v>528</v>
      </c>
      <c r="D11" s="319">
        <f>IF(C11="",9%,C11)</f>
        <v>0.09</v>
      </c>
    </row>
    <row r="12" spans="1:4" ht="49.9" customHeight="1" x14ac:dyDescent="0.2">
      <c r="A12" s="63" t="s">
        <v>514</v>
      </c>
      <c r="B12" s="67" t="s">
        <v>528</v>
      </c>
      <c r="D12" s="319">
        <f>IF(C12="",20%,C12)</f>
        <v>0.2</v>
      </c>
    </row>
    <row r="13" spans="1:4" ht="51" customHeight="1" x14ac:dyDescent="0.2">
      <c r="A13" s="63" t="s">
        <v>515</v>
      </c>
      <c r="B13" s="67" t="s">
        <v>528</v>
      </c>
      <c r="D13" s="319">
        <f>IF(C13="",10%,C13)</f>
        <v>0.1</v>
      </c>
    </row>
    <row r="14" spans="1:4" ht="24" customHeight="1" x14ac:dyDescent="0.2">
      <c r="A14" s="65" t="s">
        <v>496</v>
      </c>
      <c r="C14" s="68">
        <f>SUM(C15:C19)</f>
        <v>0</v>
      </c>
      <c r="D14" s="68">
        <f>SUM(D15:D19)</f>
        <v>0.99999999999999989</v>
      </c>
    </row>
    <row r="15" spans="1:4" ht="30" x14ac:dyDescent="0.2">
      <c r="A15" s="63" t="s">
        <v>518</v>
      </c>
      <c r="B15" s="67" t="s">
        <v>529</v>
      </c>
      <c r="D15" s="319">
        <f>IF(C15="",70%,C15)</f>
        <v>0.7</v>
      </c>
    </row>
    <row r="16" spans="1:4" ht="45" x14ac:dyDescent="0.2">
      <c r="A16" s="63" t="s">
        <v>519</v>
      </c>
      <c r="B16" s="67" t="s">
        <v>529</v>
      </c>
      <c r="D16" s="319">
        <f>IF(C16="",0%,C16)</f>
        <v>0</v>
      </c>
    </row>
    <row r="17" spans="1:4" ht="43.15" customHeight="1" x14ac:dyDescent="0.2">
      <c r="A17" s="63" t="s">
        <v>520</v>
      </c>
      <c r="B17" s="67" t="s">
        <v>529</v>
      </c>
      <c r="D17" s="319">
        <f>IF(C17="",20%,C17)</f>
        <v>0.2</v>
      </c>
    </row>
    <row r="18" spans="1:4" ht="45" x14ac:dyDescent="0.2">
      <c r="A18" s="63" t="s">
        <v>521</v>
      </c>
      <c r="B18" s="67" t="s">
        <v>529</v>
      </c>
      <c r="D18" s="319">
        <f>IF(C18="",1%,C18)</f>
        <v>0.01</v>
      </c>
    </row>
    <row r="19" spans="1:4" ht="45" x14ac:dyDescent="0.2">
      <c r="A19" s="63" t="s">
        <v>522</v>
      </c>
      <c r="B19" s="67" t="s">
        <v>529</v>
      </c>
      <c r="D19" s="319">
        <f>IF(C19="",9%,C19)</f>
        <v>0.09</v>
      </c>
    </row>
    <row r="20" spans="1:4" ht="30" x14ac:dyDescent="0.2">
      <c r="A20" s="328" t="s">
        <v>523</v>
      </c>
      <c r="B20" s="67" t="s">
        <v>529</v>
      </c>
      <c r="D20" s="319">
        <f>IF(C20="",0%,C20)</f>
        <v>0</v>
      </c>
    </row>
    <row r="21" spans="1:4" ht="36" customHeight="1" x14ac:dyDescent="0.2">
      <c r="A21" s="65" t="s">
        <v>524</v>
      </c>
      <c r="C21" s="68">
        <f>SUM(C22:C23)</f>
        <v>0</v>
      </c>
      <c r="D21" s="68">
        <f>SUM(D22:D23)</f>
        <v>1</v>
      </c>
    </row>
    <row r="22" spans="1:4" ht="37.15" customHeight="1" x14ac:dyDescent="0.2">
      <c r="A22" s="328" t="s">
        <v>525</v>
      </c>
      <c r="B22" s="64" t="s">
        <v>526</v>
      </c>
      <c r="D22" s="319">
        <f>IF(C22="",100%,C22)</f>
        <v>1</v>
      </c>
    </row>
    <row r="23" spans="1:4" ht="40.9" customHeight="1" x14ac:dyDescent="0.2">
      <c r="A23" s="328" t="s">
        <v>527</v>
      </c>
      <c r="B23" s="64" t="s">
        <v>526</v>
      </c>
      <c r="D23" s="319">
        <f>IF(C23="",0%,C23)</f>
        <v>0</v>
      </c>
    </row>
    <row r="24" spans="1:4" ht="24" customHeight="1" x14ac:dyDescent="0.2">
      <c r="B24" s="2" t="s">
        <v>174</v>
      </c>
      <c r="D24" s="64"/>
    </row>
    <row r="25" spans="1:4" ht="24" customHeight="1" x14ac:dyDescent="0.2">
      <c r="D25" s="64"/>
    </row>
    <row r="26" spans="1:4" ht="24" customHeight="1" x14ac:dyDescent="0.2">
      <c r="D26" s="64"/>
    </row>
    <row r="27" spans="1:4" ht="24" customHeight="1" x14ac:dyDescent="0.2">
      <c r="D27" s="64"/>
    </row>
    <row r="28" spans="1:4" ht="24" customHeight="1" x14ac:dyDescent="0.2">
      <c r="D28" s="64"/>
    </row>
    <row r="29" spans="1:4" x14ac:dyDescent="0.2">
      <c r="A29" s="2"/>
    </row>
    <row r="30" spans="1:4" x14ac:dyDescent="0.2">
      <c r="A30" s="2"/>
    </row>
    <row r="31" spans="1:4" x14ac:dyDescent="0.2">
      <c r="A31" s="2"/>
    </row>
    <row r="32" spans="1:4" x14ac:dyDescent="0.2">
      <c r="A32" s="2"/>
    </row>
  </sheetData>
  <mergeCells count="1">
    <mergeCell ref="A1:A2"/>
  </mergeCells>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7030A0"/>
  </sheetPr>
  <dimension ref="A1:H140"/>
  <sheetViews>
    <sheetView zoomScale="70" zoomScaleNormal="70" workbookViewId="0">
      <pane xSplit="2" ySplit="1" topLeftCell="C2" activePane="bottomRight" state="frozen"/>
      <selection pane="topRight" activeCell="C1" sqref="C1"/>
      <selection pane="bottomLeft" activeCell="A2" sqref="A2"/>
      <selection pane="bottomRight" activeCell="D73" sqref="D73"/>
    </sheetView>
  </sheetViews>
  <sheetFormatPr defaultColWidth="11" defaultRowHeight="15.75" x14ac:dyDescent="0.25"/>
  <cols>
    <col min="1" max="1" width="66.5" style="338" customWidth="1"/>
    <col min="2" max="2" width="26.75" style="2" customWidth="1"/>
    <col min="3" max="3" width="41.75" style="52" customWidth="1"/>
    <col min="4" max="4" width="42.5" style="53" customWidth="1"/>
    <col min="5" max="16384" width="11" style="2"/>
  </cols>
  <sheetData>
    <row r="1" spans="1:4" x14ac:dyDescent="0.25">
      <c r="A1" s="336" t="s">
        <v>82</v>
      </c>
      <c r="B1" s="56" t="s">
        <v>84</v>
      </c>
      <c r="C1" s="56" t="s">
        <v>87</v>
      </c>
      <c r="D1" s="56" t="s">
        <v>88</v>
      </c>
    </row>
    <row r="2" spans="1:4" ht="15" x14ac:dyDescent="0.2">
      <c r="A2" s="58" t="s">
        <v>89</v>
      </c>
      <c r="B2" s="48"/>
      <c r="C2" s="308"/>
      <c r="D2" s="311"/>
    </row>
    <row r="3" spans="1:4" ht="15" x14ac:dyDescent="0.2">
      <c r="A3" s="59" t="s">
        <v>90</v>
      </c>
      <c r="B3" s="48"/>
      <c r="C3" s="308"/>
      <c r="D3" s="311"/>
    </row>
    <row r="4" spans="1:4" ht="19.899999999999999" customHeight="1" x14ac:dyDescent="0.2">
      <c r="A4" s="55" t="s">
        <v>505</v>
      </c>
      <c r="B4" s="48" t="s">
        <v>3</v>
      </c>
      <c r="C4" s="308"/>
      <c r="D4" s="322">
        <f>IF(C4="",'Базовые параметры'!D5,C4)</f>
        <v>5</v>
      </c>
    </row>
    <row r="5" spans="1:4" ht="18" customHeight="1" x14ac:dyDescent="0.2">
      <c r="A5" s="55" t="s">
        <v>113</v>
      </c>
      <c r="B5" s="48" t="s">
        <v>3</v>
      </c>
      <c r="C5" s="308"/>
      <c r="D5" s="322">
        <f>IF(C5="",D4-D6-D7-D8,C5)</f>
        <v>4.6000000000000005</v>
      </c>
    </row>
    <row r="6" spans="1:4" ht="25.9" customHeight="1" x14ac:dyDescent="0.2">
      <c r="A6" s="55" t="s">
        <v>114</v>
      </c>
      <c r="B6" s="48" t="s">
        <v>3</v>
      </c>
      <c r="C6" s="308"/>
      <c r="D6" s="322">
        <f>IF(C6="",0.1,C6)</f>
        <v>0.1</v>
      </c>
    </row>
    <row r="7" spans="1:4" ht="33" customHeight="1" x14ac:dyDescent="0.2">
      <c r="A7" s="55" t="s">
        <v>115</v>
      </c>
      <c r="B7" s="48" t="s">
        <v>3</v>
      </c>
      <c r="C7" s="308"/>
      <c r="D7" s="322">
        <f>IF(C7="",0,C7)</f>
        <v>0</v>
      </c>
    </row>
    <row r="8" spans="1:4" ht="34.9" customHeight="1" x14ac:dyDescent="0.2">
      <c r="A8" s="55" t="s">
        <v>112</v>
      </c>
      <c r="B8" s="48" t="s">
        <v>3</v>
      </c>
      <c r="C8" s="308"/>
      <c r="D8" s="322">
        <f>IF(C8="",0.3,C8)</f>
        <v>0.3</v>
      </c>
    </row>
    <row r="9" spans="1:4" ht="31.9" customHeight="1" x14ac:dyDescent="0.2">
      <c r="A9" s="55" t="s">
        <v>506</v>
      </c>
      <c r="B9" s="48" t="s">
        <v>3</v>
      </c>
      <c r="C9" s="308"/>
      <c r="D9" s="322">
        <f>IF(C9="",5,C9)</f>
        <v>5</v>
      </c>
    </row>
    <row r="10" spans="1:4" ht="30" x14ac:dyDescent="0.2">
      <c r="A10" s="59" t="s">
        <v>481</v>
      </c>
      <c r="B10" s="48"/>
      <c r="C10" s="308"/>
      <c r="D10" s="70"/>
    </row>
    <row r="11" spans="1:4" ht="39" customHeight="1" x14ac:dyDescent="0.2">
      <c r="A11" s="55" t="s">
        <v>180</v>
      </c>
      <c r="B11" s="48" t="s">
        <v>4</v>
      </c>
      <c r="C11" s="308"/>
      <c r="D11" s="313">
        <f>IF(C11="",SUM(D12,D20,D23,D24,D25,D26),C11)</f>
        <v>10.32</v>
      </c>
    </row>
    <row r="12" spans="1:4" ht="39" customHeight="1" x14ac:dyDescent="0.2">
      <c r="A12" s="60" t="s">
        <v>96</v>
      </c>
      <c r="B12" s="48" t="s">
        <v>4</v>
      </c>
      <c r="C12" s="308"/>
      <c r="D12" s="70">
        <f>IF(C12="",SUM(D14:D16,D18:D19,C12),C12)</f>
        <v>10</v>
      </c>
    </row>
    <row r="13" spans="1:4" ht="30" x14ac:dyDescent="0.2">
      <c r="A13" s="55" t="s">
        <v>95</v>
      </c>
      <c r="B13" s="48" t="s">
        <v>4</v>
      </c>
      <c r="C13" s="308"/>
      <c r="D13" s="70">
        <f>IF(C13="",10,C13)</f>
        <v>10</v>
      </c>
    </row>
    <row r="14" spans="1:4" ht="37.15" customHeight="1" x14ac:dyDescent="0.2">
      <c r="A14" s="55" t="s">
        <v>504</v>
      </c>
      <c r="B14" s="48" t="s">
        <v>4</v>
      </c>
      <c r="C14" s="308"/>
      <c r="D14" s="70">
        <f>IF(C14="",4,C14)</f>
        <v>4</v>
      </c>
    </row>
    <row r="15" spans="1:4" ht="40.15" customHeight="1" x14ac:dyDescent="0.2">
      <c r="A15" s="55" t="s">
        <v>502</v>
      </c>
      <c r="B15" s="48" t="s">
        <v>4</v>
      </c>
      <c r="C15" s="308"/>
      <c r="D15" s="70">
        <f>IF(C15="",4,C15)</f>
        <v>4</v>
      </c>
    </row>
    <row r="16" spans="1:4" ht="37.15" customHeight="1" x14ac:dyDescent="0.2">
      <c r="A16" s="55" t="s">
        <v>530</v>
      </c>
      <c r="B16" s="48" t="s">
        <v>4</v>
      </c>
      <c r="C16" s="308"/>
      <c r="D16" s="70">
        <f>IF(C16="",2,C16)</f>
        <v>2</v>
      </c>
    </row>
    <row r="17" spans="1:4" ht="30" x14ac:dyDescent="0.2">
      <c r="A17" s="55" t="s">
        <v>97</v>
      </c>
      <c r="B17" s="48" t="s">
        <v>4</v>
      </c>
      <c r="C17" s="70"/>
      <c r="D17" s="70">
        <f>SUM(D18:D19)</f>
        <v>0</v>
      </c>
    </row>
    <row r="18" spans="1:4" ht="15" x14ac:dyDescent="0.2">
      <c r="A18" s="55" t="s">
        <v>503</v>
      </c>
      <c r="B18" s="48" t="s">
        <v>4</v>
      </c>
      <c r="C18" s="308"/>
      <c r="D18" s="70">
        <f t="shared" ref="D18:D34" si="0">IF(C18="",0,C18)</f>
        <v>0</v>
      </c>
    </row>
    <row r="19" spans="1:4" ht="15" x14ac:dyDescent="0.2">
      <c r="A19" s="55" t="s">
        <v>482</v>
      </c>
      <c r="B19" s="48" t="s">
        <v>4</v>
      </c>
      <c r="C19" s="308"/>
      <c r="D19" s="70">
        <f t="shared" si="0"/>
        <v>0</v>
      </c>
    </row>
    <row r="20" spans="1:4" ht="37.15" customHeight="1" x14ac:dyDescent="0.2">
      <c r="A20" s="60" t="s">
        <v>544</v>
      </c>
      <c r="B20" s="48" t="s">
        <v>4</v>
      </c>
      <c r="C20" s="308"/>
      <c r="D20" s="313">
        <f>SUM(D21:D22)</f>
        <v>0.32</v>
      </c>
    </row>
    <row r="21" spans="1:4" ht="15" x14ac:dyDescent="0.2">
      <c r="A21" s="55" t="s">
        <v>504</v>
      </c>
      <c r="B21" s="48" t="s">
        <v>4</v>
      </c>
      <c r="C21" s="308"/>
      <c r="D21" s="313">
        <f>IF(C21="",0.16,C21)</f>
        <v>0.16</v>
      </c>
    </row>
    <row r="22" spans="1:4" ht="15" x14ac:dyDescent="0.2">
      <c r="A22" s="55" t="s">
        <v>502</v>
      </c>
      <c r="B22" s="48" t="s">
        <v>4</v>
      </c>
      <c r="C22" s="308"/>
      <c r="D22" s="313">
        <f>IF(C22="",0.16,C22)</f>
        <v>0.16</v>
      </c>
    </row>
    <row r="23" spans="1:4" ht="30" x14ac:dyDescent="0.2">
      <c r="A23" s="60" t="s">
        <v>545</v>
      </c>
      <c r="B23" s="48" t="s">
        <v>4</v>
      </c>
      <c r="C23" s="308"/>
      <c r="D23" s="70">
        <f t="shared" si="0"/>
        <v>0</v>
      </c>
    </row>
    <row r="24" spans="1:4" ht="46.15" customHeight="1" x14ac:dyDescent="0.2">
      <c r="A24" s="60" t="s">
        <v>98</v>
      </c>
      <c r="B24" s="48" t="s">
        <v>4</v>
      </c>
      <c r="C24" s="312"/>
      <c r="D24" s="70">
        <f>IF(C24="",0,C24)</f>
        <v>0</v>
      </c>
    </row>
    <row r="25" spans="1:4" ht="45" customHeight="1" x14ac:dyDescent="0.2">
      <c r="A25" s="60" t="s">
        <v>99</v>
      </c>
      <c r="B25" s="48" t="s">
        <v>4</v>
      </c>
      <c r="C25" s="312"/>
      <c r="D25" s="70">
        <f>IF(C25="",0,C25)</f>
        <v>0</v>
      </c>
    </row>
    <row r="26" spans="1:4" ht="22.15" customHeight="1" x14ac:dyDescent="0.2">
      <c r="A26" s="60" t="s">
        <v>100</v>
      </c>
      <c r="B26" s="48" t="s">
        <v>4</v>
      </c>
      <c r="C26" s="312"/>
      <c r="D26" s="70">
        <f>SUM(D27:D29)</f>
        <v>0</v>
      </c>
    </row>
    <row r="27" spans="1:4" ht="22.15" customHeight="1" x14ac:dyDescent="0.2">
      <c r="A27" s="55" t="s">
        <v>101</v>
      </c>
      <c r="B27" s="48" t="s">
        <v>4</v>
      </c>
      <c r="C27" s="312"/>
      <c r="D27" s="70">
        <f t="shared" si="0"/>
        <v>0</v>
      </c>
    </row>
    <row r="28" spans="1:4" ht="22.15" customHeight="1" x14ac:dyDescent="0.2">
      <c r="A28" s="55" t="s">
        <v>102</v>
      </c>
      <c r="B28" s="48" t="s">
        <v>4</v>
      </c>
      <c r="C28" s="312"/>
      <c r="D28" s="70">
        <f t="shared" si="0"/>
        <v>0</v>
      </c>
    </row>
    <row r="29" spans="1:4" ht="18.399999999999999" customHeight="1" x14ac:dyDescent="0.2">
      <c r="A29" s="55" t="s">
        <v>103</v>
      </c>
      <c r="B29" s="48" t="s">
        <v>4</v>
      </c>
      <c r="C29" s="312"/>
      <c r="D29" s="70">
        <f t="shared" si="0"/>
        <v>0</v>
      </c>
    </row>
    <row r="30" spans="1:4" ht="18.399999999999999" customHeight="1" x14ac:dyDescent="0.2">
      <c r="A30" s="55" t="s">
        <v>546</v>
      </c>
      <c r="B30" s="48" t="s">
        <v>4</v>
      </c>
      <c r="C30" s="312"/>
      <c r="D30" s="70">
        <f t="shared" si="0"/>
        <v>0</v>
      </c>
    </row>
    <row r="31" spans="1:4" ht="15" x14ac:dyDescent="0.2">
      <c r="A31" s="60" t="s">
        <v>559</v>
      </c>
      <c r="B31" s="48" t="s">
        <v>30</v>
      </c>
      <c r="C31" s="308"/>
      <c r="D31" s="70">
        <f>IF(C31="",10,C31)</f>
        <v>10</v>
      </c>
    </row>
    <row r="32" spans="1:4" ht="15" x14ac:dyDescent="0.2">
      <c r="A32" s="55" t="s">
        <v>104</v>
      </c>
      <c r="B32" s="48" t="s">
        <v>30</v>
      </c>
      <c r="C32" s="308"/>
      <c r="D32" s="70">
        <f t="shared" si="0"/>
        <v>0</v>
      </c>
    </row>
    <row r="33" spans="1:4" ht="15" x14ac:dyDescent="0.2">
      <c r="A33" s="55" t="s">
        <v>105</v>
      </c>
      <c r="B33" s="48" t="s">
        <v>30</v>
      </c>
      <c r="C33" s="308"/>
      <c r="D33" s="70">
        <f>IF(C33="",10,C33)</f>
        <v>10</v>
      </c>
    </row>
    <row r="34" spans="1:4" ht="15" x14ac:dyDescent="0.2">
      <c r="A34" s="55" t="s">
        <v>106</v>
      </c>
      <c r="B34" s="48" t="s">
        <v>30</v>
      </c>
      <c r="C34" s="308"/>
      <c r="D34" s="70">
        <f t="shared" si="0"/>
        <v>0</v>
      </c>
    </row>
    <row r="35" spans="1:4" ht="30" x14ac:dyDescent="0.2">
      <c r="A35" s="59" t="s">
        <v>179</v>
      </c>
      <c r="B35" s="50"/>
      <c r="C35" s="308"/>
      <c r="D35" s="70"/>
    </row>
    <row r="36" spans="1:4" ht="15" x14ac:dyDescent="0.2">
      <c r="A36" s="55" t="s">
        <v>52</v>
      </c>
      <c r="B36" s="48" t="s">
        <v>24</v>
      </c>
      <c r="C36" s="308"/>
      <c r="D36" s="310">
        <f>SUM(D37:D41)</f>
        <v>1</v>
      </c>
    </row>
    <row r="37" spans="1:4" ht="15" x14ac:dyDescent="0.2">
      <c r="A37" s="55" t="s">
        <v>63</v>
      </c>
      <c r="B37" s="48" t="s">
        <v>24</v>
      </c>
      <c r="C37" s="308"/>
      <c r="D37" s="310">
        <f>IF(C37="",40%,C37)</f>
        <v>0.4</v>
      </c>
    </row>
    <row r="38" spans="1:4" ht="15" x14ac:dyDescent="0.2">
      <c r="A38" s="55" t="s">
        <v>64</v>
      </c>
      <c r="B38" s="48" t="s">
        <v>24</v>
      </c>
      <c r="C38" s="308"/>
      <c r="D38" s="310">
        <f>IF(C38="",40%,C38)</f>
        <v>0.4</v>
      </c>
    </row>
    <row r="39" spans="1:4" ht="15" x14ac:dyDescent="0.2">
      <c r="A39" s="55" t="s">
        <v>65</v>
      </c>
      <c r="B39" s="48" t="s">
        <v>24</v>
      </c>
      <c r="C39" s="308"/>
      <c r="D39" s="310">
        <f>IF(C39="",10%,C39)</f>
        <v>0.1</v>
      </c>
    </row>
    <row r="40" spans="1:4" ht="15" x14ac:dyDescent="0.2">
      <c r="A40" s="55" t="s">
        <v>66</v>
      </c>
      <c r="B40" s="48" t="s">
        <v>24</v>
      </c>
      <c r="C40" s="308"/>
      <c r="D40" s="310">
        <f>IF(C40="",10%,C40)</f>
        <v>0.1</v>
      </c>
    </row>
    <row r="41" spans="1:4" ht="15" x14ac:dyDescent="0.2">
      <c r="A41" s="55" t="s">
        <v>67</v>
      </c>
      <c r="B41" s="48" t="s">
        <v>24</v>
      </c>
      <c r="C41" s="308"/>
      <c r="D41" s="310">
        <f>IF(C41="",0%,C41)</f>
        <v>0</v>
      </c>
    </row>
    <row r="42" spans="1:4" ht="15" x14ac:dyDescent="0.2">
      <c r="A42" s="59" t="s">
        <v>93</v>
      </c>
      <c r="B42" s="48" t="s">
        <v>22</v>
      </c>
      <c r="C42" s="308"/>
      <c r="D42" s="327">
        <f>D43+D47</f>
        <v>0.5</v>
      </c>
    </row>
    <row r="43" spans="1:4" ht="30" x14ac:dyDescent="0.2">
      <c r="A43" s="60" t="s">
        <v>107</v>
      </c>
      <c r="B43" s="48" t="s">
        <v>22</v>
      </c>
      <c r="C43" s="308"/>
      <c r="D43" s="320">
        <f>IF(C43="",SUM(D44:D46),C43)</f>
        <v>0.5</v>
      </c>
    </row>
    <row r="44" spans="1:4" ht="15" x14ac:dyDescent="0.2">
      <c r="A44" s="55" t="s">
        <v>504</v>
      </c>
      <c r="B44" s="48" t="s">
        <v>22</v>
      </c>
      <c r="C44" s="308"/>
      <c r="D44" s="320">
        <f>IF(C44="",0.2,C44)</f>
        <v>0.2</v>
      </c>
    </row>
    <row r="45" spans="1:4" ht="85.15" customHeight="1" x14ac:dyDescent="0.2">
      <c r="A45" s="55" t="s">
        <v>502</v>
      </c>
      <c r="B45" s="48" t="s">
        <v>22</v>
      </c>
      <c r="C45" s="308"/>
      <c r="D45" s="70">
        <f>IF(C45="",0.2,C45)</f>
        <v>0.2</v>
      </c>
    </row>
    <row r="46" spans="1:4" ht="30" x14ac:dyDescent="0.2">
      <c r="A46" s="55" t="s">
        <v>530</v>
      </c>
      <c r="B46" s="48" t="s">
        <v>22</v>
      </c>
      <c r="C46" s="308"/>
      <c r="D46" s="320">
        <f>IF(C46="",0.1,C46)</f>
        <v>0.1</v>
      </c>
    </row>
    <row r="47" spans="1:4" ht="15" x14ac:dyDescent="0.2">
      <c r="A47" s="60" t="s">
        <v>92</v>
      </c>
      <c r="B47" s="48" t="s">
        <v>22</v>
      </c>
      <c r="C47" s="308"/>
      <c r="D47" s="70">
        <f t="shared" ref="D47:D49" si="1">IF(C47="",0,C47)</f>
        <v>0</v>
      </c>
    </row>
    <row r="48" spans="1:4" ht="15" x14ac:dyDescent="0.2">
      <c r="A48" s="55" t="s">
        <v>503</v>
      </c>
      <c r="B48" s="48" t="s">
        <v>22</v>
      </c>
      <c r="C48" s="308"/>
      <c r="D48" s="70">
        <f t="shared" si="1"/>
        <v>0</v>
      </c>
    </row>
    <row r="49" spans="1:5" ht="15" x14ac:dyDescent="0.2">
      <c r="A49" s="55" t="s">
        <v>482</v>
      </c>
      <c r="B49" s="48" t="s">
        <v>22</v>
      </c>
      <c r="C49" s="308"/>
      <c r="D49" s="70">
        <f t="shared" si="1"/>
        <v>0</v>
      </c>
    </row>
    <row r="50" spans="1:5" ht="15" x14ac:dyDescent="0.2">
      <c r="A50" s="59" t="s">
        <v>108</v>
      </c>
      <c r="B50" s="48"/>
      <c r="C50" s="50"/>
      <c r="D50" s="70"/>
      <c r="E50" s="309"/>
    </row>
    <row r="51" spans="1:5" ht="40.9" customHeight="1" x14ac:dyDescent="0.2">
      <c r="A51" s="61" t="s">
        <v>91</v>
      </c>
      <c r="B51" s="48" t="s">
        <v>20</v>
      </c>
      <c r="C51" s="50"/>
      <c r="D51" s="334">
        <f>IF(C51="",50,C51)</f>
        <v>50</v>
      </c>
      <c r="E51" s="309"/>
    </row>
    <row r="52" spans="1:5" ht="40.15" customHeight="1" x14ac:dyDescent="0.2">
      <c r="A52" s="61" t="s">
        <v>109</v>
      </c>
      <c r="B52" s="48" t="s">
        <v>20</v>
      </c>
      <c r="C52" s="50"/>
      <c r="D52" s="334">
        <v>200</v>
      </c>
      <c r="E52" s="309"/>
    </row>
    <row r="53" spans="1:5" ht="24" customHeight="1" x14ac:dyDescent="0.2">
      <c r="A53" s="55" t="s">
        <v>504</v>
      </c>
      <c r="B53" s="48" t="s">
        <v>20</v>
      </c>
      <c r="C53" s="50"/>
      <c r="D53" s="334">
        <v>80</v>
      </c>
      <c r="E53" s="309"/>
    </row>
    <row r="54" spans="1:5" ht="25.15" customHeight="1" x14ac:dyDescent="0.2">
      <c r="A54" s="335" t="s">
        <v>502</v>
      </c>
      <c r="B54" s="48" t="s">
        <v>20</v>
      </c>
      <c r="C54" s="50"/>
      <c r="D54" s="334">
        <v>80</v>
      </c>
      <c r="E54" s="309"/>
    </row>
    <row r="55" spans="1:5" ht="24" customHeight="1" x14ac:dyDescent="0.2">
      <c r="A55" s="335" t="s">
        <v>530</v>
      </c>
      <c r="B55" s="48" t="s">
        <v>20</v>
      </c>
      <c r="C55" s="50"/>
      <c r="D55" s="334">
        <v>40</v>
      </c>
      <c r="E55" s="309"/>
    </row>
    <row r="56" spans="1:5" ht="24" customHeight="1" x14ac:dyDescent="0.2">
      <c r="A56" s="335" t="s">
        <v>94</v>
      </c>
      <c r="B56" s="48" t="s">
        <v>20</v>
      </c>
      <c r="C56" s="50"/>
      <c r="D56" s="334">
        <v>0</v>
      </c>
      <c r="E56" s="309"/>
    </row>
    <row r="57" spans="1:5" ht="24" customHeight="1" x14ac:dyDescent="0.2">
      <c r="A57" s="335" t="s">
        <v>543</v>
      </c>
      <c r="B57" s="48" t="s">
        <v>20</v>
      </c>
      <c r="C57" s="50"/>
      <c r="D57" s="334">
        <v>0</v>
      </c>
      <c r="E57" s="309"/>
    </row>
    <row r="58" spans="1:5" s="54" customFormat="1" ht="33" customHeight="1" x14ac:dyDescent="0.2">
      <c r="A58" s="61" t="s">
        <v>110</v>
      </c>
      <c r="B58" s="48" t="s">
        <v>20</v>
      </c>
      <c r="C58" s="50"/>
      <c r="D58" s="70">
        <f>IF(C58="",1,C58)</f>
        <v>1</v>
      </c>
      <c r="E58" s="309"/>
    </row>
    <row r="59" spans="1:5" ht="18" customHeight="1" x14ac:dyDescent="0.2">
      <c r="A59" s="55" t="s">
        <v>504</v>
      </c>
      <c r="B59" s="48" t="s">
        <v>20</v>
      </c>
      <c r="C59" s="50"/>
      <c r="D59" s="70">
        <f>IF(C59="",0.5,C59)</f>
        <v>0.5</v>
      </c>
      <c r="E59" s="309"/>
    </row>
    <row r="60" spans="1:5" ht="18" customHeight="1" x14ac:dyDescent="0.2">
      <c r="A60" s="335" t="s">
        <v>502</v>
      </c>
      <c r="B60" s="48" t="s">
        <v>20</v>
      </c>
      <c r="C60" s="50"/>
      <c r="D60" s="70">
        <f>IF(C60="",0.8,C60)</f>
        <v>0.8</v>
      </c>
      <c r="E60" s="309"/>
    </row>
    <row r="61" spans="1:5" ht="21" customHeight="1" x14ac:dyDescent="0.2">
      <c r="A61" s="335" t="s">
        <v>94</v>
      </c>
      <c r="B61" s="48" t="s">
        <v>20</v>
      </c>
      <c r="C61" s="50"/>
      <c r="D61" s="70">
        <f>IF(C61="",0,C61)</f>
        <v>0</v>
      </c>
      <c r="E61" s="309"/>
    </row>
    <row r="62" spans="1:5" ht="36" customHeight="1" x14ac:dyDescent="0.2">
      <c r="A62" s="61" t="s">
        <v>129</v>
      </c>
      <c r="B62" s="48" t="s">
        <v>20</v>
      </c>
      <c r="C62" s="50"/>
      <c r="D62" s="70">
        <f>IF(C62="",0,C62)</f>
        <v>0</v>
      </c>
      <c r="E62" s="309"/>
    </row>
    <row r="63" spans="1:5" ht="25.15" customHeight="1" x14ac:dyDescent="0.2">
      <c r="A63" s="61" t="s">
        <v>111</v>
      </c>
      <c r="B63" s="48" t="s">
        <v>20</v>
      </c>
      <c r="C63" s="50"/>
      <c r="D63" s="70">
        <f>IF(C63="",0.5,C63)</f>
        <v>0.5</v>
      </c>
      <c r="E63" s="309"/>
    </row>
    <row r="64" spans="1:5" ht="15" x14ac:dyDescent="0.2">
      <c r="A64" s="59" t="s">
        <v>117</v>
      </c>
      <c r="B64" s="48"/>
      <c r="C64" s="50"/>
      <c r="D64" s="70"/>
      <c r="E64" s="309"/>
    </row>
    <row r="65" spans="1:5" ht="42" customHeight="1" x14ac:dyDescent="0.2">
      <c r="A65" s="329" t="s">
        <v>29</v>
      </c>
      <c r="B65" s="48" t="s">
        <v>9</v>
      </c>
      <c r="C65" s="50"/>
      <c r="D65" s="70">
        <f>IF(C65="",91.2,C65)</f>
        <v>91.2</v>
      </c>
      <c r="E65" s="309"/>
    </row>
    <row r="66" spans="1:5" ht="30" x14ac:dyDescent="0.2">
      <c r="A66" s="329" t="s">
        <v>53</v>
      </c>
      <c r="B66" s="48" t="s">
        <v>9</v>
      </c>
      <c r="C66" s="50"/>
      <c r="D66" s="70">
        <f>IF(C66="",72.1,C66)</f>
        <v>72.099999999999994</v>
      </c>
      <c r="E66" s="309"/>
    </row>
    <row r="67" spans="1:5" ht="21" customHeight="1" x14ac:dyDescent="0.2">
      <c r="A67" s="329" t="s">
        <v>531</v>
      </c>
      <c r="B67" s="48" t="s">
        <v>9</v>
      </c>
      <c r="C67" s="50"/>
      <c r="D67" s="70">
        <f>IF(C67="",36,C67)</f>
        <v>36</v>
      </c>
      <c r="E67" s="309"/>
    </row>
    <row r="68" spans="1:5" ht="16.149999999999999" customHeight="1" x14ac:dyDescent="0.2">
      <c r="A68" s="329" t="s">
        <v>532</v>
      </c>
      <c r="B68" s="48" t="s">
        <v>9</v>
      </c>
      <c r="C68" s="50"/>
      <c r="D68" s="70">
        <f>IF(C68="",57.7,C68)</f>
        <v>57.7</v>
      </c>
      <c r="E68" s="309"/>
    </row>
    <row r="69" spans="1:5" ht="34.9" customHeight="1" x14ac:dyDescent="0.2">
      <c r="A69" s="329" t="s">
        <v>533</v>
      </c>
      <c r="B69" s="48" t="s">
        <v>9</v>
      </c>
      <c r="C69" s="50"/>
      <c r="D69" s="70">
        <f>IF(C69="",144,C69)</f>
        <v>144</v>
      </c>
      <c r="E69" s="309"/>
    </row>
    <row r="70" spans="1:5" ht="34.9" customHeight="1" x14ac:dyDescent="0.2">
      <c r="A70" s="329" t="s">
        <v>534</v>
      </c>
      <c r="B70" s="48" t="s">
        <v>9</v>
      </c>
      <c r="C70" s="50"/>
      <c r="D70" s="70">
        <f>IF(C70="",101.8,C70)</f>
        <v>101.8</v>
      </c>
      <c r="E70" s="309"/>
    </row>
    <row r="71" spans="1:5" ht="34.9" customHeight="1" x14ac:dyDescent="0.2">
      <c r="A71" s="329" t="s">
        <v>535</v>
      </c>
      <c r="B71" s="48" t="s">
        <v>10</v>
      </c>
      <c r="C71" s="314"/>
      <c r="D71" s="70">
        <f>IF(C71="",69.3,C71)</f>
        <v>69.3</v>
      </c>
      <c r="E71" s="309"/>
    </row>
    <row r="72" spans="1:5" ht="34.9" customHeight="1" x14ac:dyDescent="0.2">
      <c r="A72" s="329" t="s">
        <v>536</v>
      </c>
      <c r="B72" s="48" t="s">
        <v>9</v>
      </c>
      <c r="C72" s="50"/>
      <c r="D72" s="70">
        <f>IF(C72="",90,C72)</f>
        <v>90</v>
      </c>
      <c r="E72" s="309"/>
    </row>
    <row r="73" spans="1:5" ht="21" customHeight="1" x14ac:dyDescent="0.2">
      <c r="A73" s="329" t="s">
        <v>130</v>
      </c>
      <c r="B73" s="51" t="s">
        <v>127</v>
      </c>
      <c r="C73" s="50"/>
      <c r="D73" s="70">
        <f>IF(C73="",1.1,C73)</f>
        <v>1.1000000000000001</v>
      </c>
      <c r="E73" s="309"/>
    </row>
    <row r="74" spans="1:5" ht="22.15" customHeight="1" x14ac:dyDescent="0.2">
      <c r="A74" s="329" t="s">
        <v>537</v>
      </c>
      <c r="B74" s="48" t="s">
        <v>538</v>
      </c>
      <c r="C74" s="314"/>
      <c r="D74" s="70">
        <f>IF(C74="",50,C74)</f>
        <v>50</v>
      </c>
      <c r="E74" s="309"/>
    </row>
    <row r="75" spans="1:5" ht="16.899999999999999" customHeight="1" x14ac:dyDescent="0.2">
      <c r="A75" s="59" t="s">
        <v>116</v>
      </c>
      <c r="B75" s="5"/>
      <c r="C75" s="314"/>
      <c r="D75" s="70"/>
      <c r="E75" s="309"/>
    </row>
    <row r="76" spans="1:5" ht="34.9" customHeight="1" x14ac:dyDescent="0.2">
      <c r="A76" s="337" t="s">
        <v>539</v>
      </c>
      <c r="B76" s="49" t="s">
        <v>10</v>
      </c>
      <c r="C76" s="50"/>
      <c r="D76" s="70">
        <f>IF(C76="",2,C76)</f>
        <v>2</v>
      </c>
      <c r="E76" s="309"/>
    </row>
    <row r="77" spans="1:5" ht="37.9" customHeight="1" x14ac:dyDescent="0.2">
      <c r="A77" s="337" t="s">
        <v>5</v>
      </c>
      <c r="B77" s="49" t="s">
        <v>62</v>
      </c>
      <c r="C77" s="50"/>
      <c r="D77" s="70">
        <f>IF(C77="",44.5,C77)</f>
        <v>44.5</v>
      </c>
      <c r="E77" s="309"/>
    </row>
    <row r="78" spans="1:5" ht="31.15" customHeight="1" x14ac:dyDescent="0.2">
      <c r="A78" s="337" t="s">
        <v>184</v>
      </c>
      <c r="B78" s="48" t="s">
        <v>10</v>
      </c>
      <c r="C78" s="50"/>
      <c r="D78" s="70">
        <f>IF(C78="",3,C78)</f>
        <v>3</v>
      </c>
      <c r="E78" s="309"/>
    </row>
    <row r="79" spans="1:5" ht="40.15" customHeight="1" x14ac:dyDescent="0.2">
      <c r="A79" s="337" t="s">
        <v>185</v>
      </c>
      <c r="B79" s="48" t="s">
        <v>10</v>
      </c>
      <c r="C79" s="50"/>
      <c r="D79" s="70">
        <f>IF(C79="",3,C79)</f>
        <v>3</v>
      </c>
      <c r="E79" s="309"/>
    </row>
    <row r="80" spans="1:5" ht="43.9" customHeight="1" x14ac:dyDescent="0.2">
      <c r="A80" s="337" t="s">
        <v>483</v>
      </c>
      <c r="B80" s="48" t="s">
        <v>10</v>
      </c>
      <c r="C80" s="50"/>
      <c r="D80" s="70">
        <f>IF(C80="",2,C80)</f>
        <v>2</v>
      </c>
      <c r="E80" s="309"/>
    </row>
    <row r="81" spans="1:8" ht="28.15" customHeight="1" x14ac:dyDescent="0.2">
      <c r="A81" s="337" t="s">
        <v>564</v>
      </c>
      <c r="B81" s="48" t="s">
        <v>10</v>
      </c>
      <c r="C81" s="50"/>
      <c r="D81" s="70">
        <f>IF(C81="",7,C81)</f>
        <v>7</v>
      </c>
      <c r="E81" s="309"/>
    </row>
    <row r="82" spans="1:8" ht="34.15" customHeight="1" x14ac:dyDescent="0.2">
      <c r="A82" s="337" t="s">
        <v>378</v>
      </c>
      <c r="B82" s="48" t="s">
        <v>10</v>
      </c>
      <c r="C82" s="50"/>
      <c r="D82" s="70">
        <f>IF(C82="",3.5,C82)</f>
        <v>3.5</v>
      </c>
      <c r="E82" s="309"/>
    </row>
    <row r="83" spans="1:8" ht="30" x14ac:dyDescent="0.2">
      <c r="A83" s="337" t="s">
        <v>377</v>
      </c>
      <c r="B83" s="48" t="s">
        <v>10</v>
      </c>
      <c r="C83" s="50"/>
      <c r="D83" s="70">
        <f>IF(C83="",10,C83)</f>
        <v>10</v>
      </c>
      <c r="E83" s="309"/>
    </row>
    <row r="84" spans="1:8" ht="30" x14ac:dyDescent="0.2">
      <c r="A84" s="337" t="s">
        <v>270</v>
      </c>
      <c r="B84" s="48" t="s">
        <v>9</v>
      </c>
      <c r="C84" s="50"/>
      <c r="D84" s="70">
        <f>IF(C84="",63.8,C84)</f>
        <v>63.8</v>
      </c>
      <c r="E84" s="309"/>
    </row>
    <row r="85" spans="1:8" ht="45" x14ac:dyDescent="0.2">
      <c r="A85" s="337" t="s">
        <v>480</v>
      </c>
      <c r="B85" s="92" t="s">
        <v>126</v>
      </c>
      <c r="C85" s="50"/>
      <c r="D85" s="70">
        <f>IF(C85="",250,C85)</f>
        <v>250</v>
      </c>
      <c r="E85" s="309"/>
    </row>
    <row r="86" spans="1:8" ht="27" customHeight="1" x14ac:dyDescent="0.2">
      <c r="A86" s="337" t="s">
        <v>540</v>
      </c>
      <c r="B86" s="48" t="s">
        <v>10</v>
      </c>
      <c r="C86" s="50"/>
      <c r="D86" s="70">
        <f>IF(C86="",2,C86)</f>
        <v>2</v>
      </c>
      <c r="E86" s="309"/>
    </row>
    <row r="87" spans="1:8" ht="15" x14ac:dyDescent="0.2">
      <c r="A87" s="337" t="s">
        <v>541</v>
      </c>
      <c r="B87" s="49" t="s">
        <v>9</v>
      </c>
      <c r="C87" s="50"/>
      <c r="D87" s="70">
        <f>IF(C87="",1.5,C87)</f>
        <v>1.5</v>
      </c>
      <c r="E87" s="309"/>
      <c r="F87" s="24"/>
      <c r="G87" s="24"/>
      <c r="H87" s="24"/>
    </row>
    <row r="88" spans="1:8" s="54" customFormat="1" ht="34.9" customHeight="1" x14ac:dyDescent="0.2">
      <c r="A88" s="337" t="s">
        <v>542</v>
      </c>
      <c r="B88" s="92" t="s">
        <v>417</v>
      </c>
      <c r="C88" s="310"/>
      <c r="D88" s="310">
        <f>IF(C88="",5%,C88)</f>
        <v>0.05</v>
      </c>
      <c r="E88" s="309"/>
    </row>
    <row r="89" spans="1:8" x14ac:dyDescent="0.2">
      <c r="A89" s="59" t="s">
        <v>118</v>
      </c>
      <c r="B89" s="5"/>
      <c r="C89" s="314"/>
      <c r="D89" s="70"/>
      <c r="E89" s="309"/>
    </row>
    <row r="90" spans="1:8" ht="19.899999999999999" customHeight="1" x14ac:dyDescent="0.2">
      <c r="A90" s="55" t="s">
        <v>119</v>
      </c>
      <c r="B90" s="48" t="s">
        <v>124</v>
      </c>
      <c r="C90" s="314"/>
      <c r="D90" s="70">
        <f>IF(C90="",40,C90)</f>
        <v>40</v>
      </c>
      <c r="E90" s="309"/>
    </row>
    <row r="91" spans="1:8" ht="25.9" customHeight="1" x14ac:dyDescent="0.2">
      <c r="A91" s="55" t="s">
        <v>25</v>
      </c>
      <c r="B91" s="48" t="s">
        <v>383</v>
      </c>
      <c r="C91" s="314"/>
      <c r="D91" s="310">
        <f>IF(C91="",4%,C91)</f>
        <v>0.04</v>
      </c>
      <c r="E91" s="309"/>
    </row>
    <row r="92" spans="1:8" ht="22.15" customHeight="1" x14ac:dyDescent="0.2">
      <c r="A92" s="55" t="s">
        <v>437</v>
      </c>
      <c r="B92" s="48" t="s">
        <v>383</v>
      </c>
      <c r="C92" s="314"/>
      <c r="D92" s="310">
        <f>IF(C92="",0%,C92)</f>
        <v>0</v>
      </c>
      <c r="E92" s="309"/>
    </row>
    <row r="93" spans="1:8" ht="22.15" customHeight="1" x14ac:dyDescent="0.2">
      <c r="A93" s="55" t="s">
        <v>382</v>
      </c>
      <c r="B93" s="48" t="s">
        <v>280</v>
      </c>
      <c r="C93" s="314"/>
      <c r="D93" s="310">
        <f>IF(C93="",10%,C93)</f>
        <v>0.1</v>
      </c>
      <c r="E93" s="309"/>
    </row>
    <row r="94" spans="1:8" x14ac:dyDescent="0.2">
      <c r="A94" s="59" t="s">
        <v>120</v>
      </c>
      <c r="B94" s="5"/>
      <c r="C94" s="314"/>
      <c r="D94" s="70"/>
      <c r="E94" s="309"/>
    </row>
    <row r="95" spans="1:8" ht="37.15" customHeight="1" x14ac:dyDescent="0.2">
      <c r="A95" s="55" t="s">
        <v>547</v>
      </c>
      <c r="B95" s="92" t="s">
        <v>243</v>
      </c>
      <c r="C95" s="314"/>
      <c r="D95" s="310">
        <f>IF(C95="",20%,C95)</f>
        <v>0.2</v>
      </c>
      <c r="E95" s="309"/>
    </row>
    <row r="96" spans="1:8" ht="22.9" customHeight="1" x14ac:dyDescent="0.2">
      <c r="A96" s="55" t="s">
        <v>121</v>
      </c>
      <c r="B96" s="48" t="s">
        <v>242</v>
      </c>
      <c r="C96" s="314"/>
      <c r="D96" s="310">
        <f>IF(C96="",20%,C96)</f>
        <v>0.2</v>
      </c>
      <c r="E96" s="309"/>
    </row>
    <row r="97" spans="1:5" ht="31.15" customHeight="1" x14ac:dyDescent="0.2">
      <c r="A97" s="55" t="s">
        <v>122</v>
      </c>
      <c r="B97" s="92" t="s">
        <v>240</v>
      </c>
      <c r="C97" s="314"/>
      <c r="D97" s="321">
        <f>IF(C97="",2%,C97)</f>
        <v>0.02</v>
      </c>
      <c r="E97" s="309"/>
    </row>
    <row r="98" spans="1:5" ht="42" customHeight="1" x14ac:dyDescent="0.2">
      <c r="A98" s="55" t="s">
        <v>238</v>
      </c>
      <c r="B98" s="92" t="s">
        <v>239</v>
      </c>
      <c r="C98" s="314"/>
      <c r="D98" s="310">
        <f>IF(C98="",6%,C98)</f>
        <v>0.06</v>
      </c>
      <c r="E98" s="309"/>
    </row>
    <row r="99" spans="1:5" ht="37.15" customHeight="1" x14ac:dyDescent="0.2">
      <c r="A99" s="55" t="s">
        <v>123</v>
      </c>
      <c r="B99" s="92" t="s">
        <v>240</v>
      </c>
      <c r="C99" s="314"/>
      <c r="D99" s="321">
        <f>IF(C99="",0.1%,C99)</f>
        <v>1E-3</v>
      </c>
      <c r="E99" s="309"/>
    </row>
    <row r="100" spans="1:5" ht="36" customHeight="1" x14ac:dyDescent="0.2">
      <c r="A100" s="55" t="s">
        <v>128</v>
      </c>
      <c r="B100" s="92" t="s">
        <v>241</v>
      </c>
      <c r="C100" s="314"/>
      <c r="D100" s="321">
        <f>IF(C100="",1.5%,C100)</f>
        <v>1.4999999999999999E-2</v>
      </c>
      <c r="E100" s="309"/>
    </row>
    <row r="140" spans="3:3" ht="56.25" customHeight="1" x14ac:dyDescent="0.2">
      <c r="C140" s="2"/>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FF00"/>
  </sheetPr>
  <dimension ref="A1:G119"/>
  <sheetViews>
    <sheetView topLeftCell="A50" zoomScale="80" zoomScaleNormal="80" workbookViewId="0">
      <selection activeCell="D66" sqref="D66"/>
    </sheetView>
  </sheetViews>
  <sheetFormatPr defaultColWidth="18.25" defaultRowHeight="28.15" customHeight="1" x14ac:dyDescent="0.2"/>
  <cols>
    <col min="1" max="1" width="7.75" style="71" customWidth="1"/>
    <col min="2" max="2" width="46.75" style="141" customWidth="1"/>
    <col min="3" max="3" width="12.75" style="139" customWidth="1"/>
    <col min="4" max="4" width="17.25" style="84" customWidth="1"/>
    <col min="5" max="5" width="18.25" style="84" customWidth="1"/>
    <col min="6" max="6" width="21.75" style="84" customWidth="1"/>
    <col min="7" max="7" width="44" style="280" customWidth="1"/>
    <col min="8" max="16384" width="18.25" style="72"/>
  </cols>
  <sheetData>
    <row r="1" spans="1:7" ht="28.15" customHeight="1" x14ac:dyDescent="0.2">
      <c r="A1" s="432" t="s">
        <v>361</v>
      </c>
      <c r="B1" s="432"/>
      <c r="C1" s="432"/>
      <c r="D1" s="432"/>
      <c r="E1" s="432"/>
      <c r="F1" s="432"/>
    </row>
    <row r="2" spans="1:7" ht="28.15" customHeight="1" x14ac:dyDescent="0.2">
      <c r="A2" s="148" t="s">
        <v>289</v>
      </c>
      <c r="B2" s="148" t="s">
        <v>293</v>
      </c>
      <c r="C2" s="277" t="s">
        <v>181</v>
      </c>
      <c r="D2" s="277" t="s">
        <v>290</v>
      </c>
      <c r="E2" s="277" t="s">
        <v>291</v>
      </c>
      <c r="F2" s="277" t="s">
        <v>292</v>
      </c>
      <c r="G2" s="142"/>
    </row>
    <row r="3" spans="1:7" ht="28.15" customHeight="1" x14ac:dyDescent="0.2">
      <c r="A3" s="151" t="s">
        <v>134</v>
      </c>
      <c r="B3" s="152" t="s">
        <v>294</v>
      </c>
      <c r="C3" s="139" t="s">
        <v>24</v>
      </c>
      <c r="D3" s="74">
        <v>1</v>
      </c>
      <c r="E3" s="74">
        <v>1</v>
      </c>
      <c r="F3" s="74">
        <v>1</v>
      </c>
      <c r="G3" s="142"/>
    </row>
    <row r="4" spans="1:7" ht="28.15" customHeight="1" x14ac:dyDescent="0.2">
      <c r="A4" s="71" t="s">
        <v>135</v>
      </c>
      <c r="B4" s="75" t="s">
        <v>136</v>
      </c>
      <c r="C4" s="139" t="s">
        <v>24</v>
      </c>
      <c r="D4" s="78">
        <v>0.4</v>
      </c>
      <c r="E4" s="78">
        <v>0.4</v>
      </c>
      <c r="F4" s="78">
        <v>0.35</v>
      </c>
      <c r="G4" s="142"/>
    </row>
    <row r="5" spans="1:7" ht="28.15" customHeight="1" x14ac:dyDescent="0.2">
      <c r="A5" s="90" t="s">
        <v>137</v>
      </c>
      <c r="B5" s="75" t="s">
        <v>300</v>
      </c>
      <c r="C5" s="139" t="s">
        <v>24</v>
      </c>
      <c r="D5" s="78">
        <v>0.3</v>
      </c>
      <c r="E5" s="78">
        <v>0.3</v>
      </c>
      <c r="F5" s="79">
        <v>0.3</v>
      </c>
      <c r="G5" s="142"/>
    </row>
    <row r="6" spans="1:7" ht="28.15" customHeight="1" x14ac:dyDescent="0.2">
      <c r="A6" s="71" t="s">
        <v>138</v>
      </c>
      <c r="B6" s="75" t="s">
        <v>139</v>
      </c>
      <c r="C6" s="139" t="s">
        <v>24</v>
      </c>
      <c r="D6" s="78">
        <f>D17/D14</f>
        <v>0.20735999999999999</v>
      </c>
      <c r="E6" s="78">
        <f>E17/E14</f>
        <v>0.17136000000000001</v>
      </c>
      <c r="F6" s="78">
        <f>F17/F14</f>
        <v>0.14279999999999998</v>
      </c>
      <c r="G6" s="142"/>
    </row>
    <row r="7" spans="1:7" ht="28.15" customHeight="1" x14ac:dyDescent="0.2">
      <c r="A7" s="71" t="s">
        <v>140</v>
      </c>
      <c r="B7" s="75" t="s">
        <v>17</v>
      </c>
      <c r="C7" s="139" t="s">
        <v>24</v>
      </c>
      <c r="D7" s="78">
        <f>D18/D14</f>
        <v>1.7160960000000003E-2</v>
      </c>
      <c r="E7" s="78">
        <v>0.01</v>
      </c>
      <c r="F7" s="78">
        <f>F18/F14</f>
        <v>0.01</v>
      </c>
      <c r="G7" s="142"/>
    </row>
    <row r="8" spans="1:7" ht="28.15" customHeight="1" x14ac:dyDescent="0.2">
      <c r="A8" s="71" t="s">
        <v>142</v>
      </c>
      <c r="B8" s="75" t="s">
        <v>141</v>
      </c>
      <c r="C8" s="139" t="s">
        <v>24</v>
      </c>
      <c r="D8" s="78">
        <f>D19/$D$14</f>
        <v>0</v>
      </c>
      <c r="E8" s="78">
        <v>0.06</v>
      </c>
      <c r="F8" s="79">
        <v>0.04</v>
      </c>
      <c r="G8" s="142"/>
    </row>
    <row r="9" spans="1:7" ht="28.15" customHeight="1" x14ac:dyDescent="0.2">
      <c r="A9" s="71" t="s">
        <v>186</v>
      </c>
      <c r="B9" s="75" t="s">
        <v>143</v>
      </c>
      <c r="C9" s="139" t="s">
        <v>24</v>
      </c>
      <c r="D9" s="82">
        <f>SUM(D10:D12)</f>
        <v>7.5479040000000011E-2</v>
      </c>
      <c r="E9" s="82">
        <f>SUM(E10:E12)</f>
        <v>6.2375039999999993E-2</v>
      </c>
      <c r="F9" s="82">
        <f>SUM(F10:F12)</f>
        <v>0.15727039999999998</v>
      </c>
      <c r="G9" s="142"/>
    </row>
    <row r="10" spans="1:7" ht="28.15" customHeight="1" x14ac:dyDescent="0.2">
      <c r="A10" s="71" t="s">
        <v>187</v>
      </c>
      <c r="B10" s="75" t="s">
        <v>299</v>
      </c>
      <c r="C10" s="139" t="s">
        <v>24</v>
      </c>
      <c r="D10" s="78">
        <v>0</v>
      </c>
      <c r="E10" s="78">
        <v>0</v>
      </c>
      <c r="F10" s="78">
        <f>F21/$F$14</f>
        <v>5.9975999999999995E-2</v>
      </c>
      <c r="G10" s="142"/>
    </row>
    <row r="11" spans="1:7" ht="28.15" customHeight="1" x14ac:dyDescent="0.2">
      <c r="A11" s="71" t="s">
        <v>188</v>
      </c>
      <c r="B11" s="75" t="s">
        <v>200</v>
      </c>
      <c r="C11" s="139" t="s">
        <v>24</v>
      </c>
      <c r="D11" s="78">
        <f>D22/$D$14</f>
        <v>7.5479040000000011E-2</v>
      </c>
      <c r="E11" s="78">
        <f>E22/$E$14</f>
        <v>6.2375039999999993E-2</v>
      </c>
      <c r="F11" s="78">
        <f>F22/$F$14</f>
        <v>8.9964000000000002E-2</v>
      </c>
      <c r="G11" s="142"/>
    </row>
    <row r="12" spans="1:7" ht="28.15" customHeight="1" x14ac:dyDescent="0.2">
      <c r="A12" s="71" t="s">
        <v>189</v>
      </c>
      <c r="B12" s="75" t="s">
        <v>144</v>
      </c>
      <c r="C12" s="139" t="s">
        <v>24</v>
      </c>
      <c r="D12" s="78">
        <v>0</v>
      </c>
      <c r="E12" s="78">
        <v>0</v>
      </c>
      <c r="F12" s="78">
        <f>F23/$F$14</f>
        <v>7.3304000000000008E-3</v>
      </c>
      <c r="G12" s="142"/>
    </row>
    <row r="13" spans="1:7" ht="28.15" customHeight="1" x14ac:dyDescent="0.2">
      <c r="A13" s="71" t="s">
        <v>219</v>
      </c>
      <c r="B13" s="141" t="s">
        <v>146</v>
      </c>
      <c r="C13" s="139" t="s">
        <v>24</v>
      </c>
      <c r="D13" s="83">
        <f>SUM(D4:D9)</f>
        <v>1</v>
      </c>
      <c r="E13" s="83">
        <f>SUM(E4:E9)</f>
        <v>1.00373504</v>
      </c>
      <c r="F13" s="83">
        <f>SUM(F4:F9)</f>
        <v>1.0000704</v>
      </c>
      <c r="G13" s="142"/>
    </row>
    <row r="14" spans="1:7" ht="28.15" customHeight="1" x14ac:dyDescent="0.2">
      <c r="A14" s="151" t="s">
        <v>145</v>
      </c>
      <c r="B14" s="152" t="s">
        <v>294</v>
      </c>
      <c r="C14" s="77" t="s">
        <v>3</v>
      </c>
      <c r="D14" s="73">
        <f>IF('Базовые параметры'!D5&lt;5,'Базовые параметры'!D5,2.5)</f>
        <v>2.5</v>
      </c>
      <c r="E14" s="73">
        <f>IF('Базовые параметры'!D5&gt;=5,IF('Базовые параметры'!D5&lt;10,'Базовые параметры'!D5,5),5)</f>
        <v>5</v>
      </c>
      <c r="F14" s="73">
        <f>IF('Базовые параметры'!D5&gt;=10,'Базовые параметры'!D5,10)</f>
        <v>10</v>
      </c>
    </row>
    <row r="15" spans="1:7" ht="28.15" customHeight="1" x14ac:dyDescent="0.2">
      <c r="A15" s="71" t="s">
        <v>164</v>
      </c>
      <c r="B15" s="75" t="s">
        <v>136</v>
      </c>
      <c r="C15" s="77" t="s">
        <v>3</v>
      </c>
      <c r="D15" s="76">
        <f>$D$14*D4</f>
        <v>1</v>
      </c>
      <c r="E15" s="77">
        <f>$E$14*E4</f>
        <v>2</v>
      </c>
      <c r="F15" s="77">
        <f>$F$14*F4</f>
        <v>3.5</v>
      </c>
    </row>
    <row r="16" spans="1:7" s="80" customFormat="1" ht="28.15" customHeight="1" x14ac:dyDescent="0.2">
      <c r="A16" s="90" t="s">
        <v>166</v>
      </c>
      <c r="B16" s="75" t="s">
        <v>295</v>
      </c>
      <c r="C16" s="77" t="s">
        <v>3</v>
      </c>
      <c r="D16" s="76">
        <f>$D$14*D5</f>
        <v>0.75</v>
      </c>
      <c r="E16" s="77">
        <f>$E$14*E5</f>
        <v>1.5</v>
      </c>
      <c r="F16" s="77">
        <f>$F$14*F5</f>
        <v>3</v>
      </c>
      <c r="G16" s="430"/>
    </row>
    <row r="17" spans="1:7" ht="28.15" customHeight="1" x14ac:dyDescent="0.2">
      <c r="A17" s="71" t="s">
        <v>167</v>
      </c>
      <c r="B17" s="75" t="s">
        <v>139</v>
      </c>
      <c r="C17" s="77" t="s">
        <v>3</v>
      </c>
      <c r="D17" s="76">
        <f>D74*D39</f>
        <v>0.51839999999999997</v>
      </c>
      <c r="E17" s="76">
        <f>E74*E39</f>
        <v>0.85680000000000001</v>
      </c>
      <c r="F17" s="76">
        <f>F74*F39</f>
        <v>1.4279999999999999</v>
      </c>
      <c r="G17" s="430"/>
    </row>
    <row r="18" spans="1:7" ht="28.15" customHeight="1" x14ac:dyDescent="0.2">
      <c r="A18" s="71" t="s">
        <v>168</v>
      </c>
      <c r="B18" s="75" t="s">
        <v>17</v>
      </c>
      <c r="C18" s="77" t="s">
        <v>3</v>
      </c>
      <c r="D18" s="76">
        <f>D14-D15-D16-D17-D19-D20</f>
        <v>4.2902400000000007E-2</v>
      </c>
      <c r="E18" s="77">
        <f>E14*E7</f>
        <v>0.05</v>
      </c>
      <c r="F18" s="77">
        <f>0.1</f>
        <v>0.1</v>
      </c>
    </row>
    <row r="19" spans="1:7" ht="28.15" customHeight="1" x14ac:dyDescent="0.2">
      <c r="A19" s="71" t="s">
        <v>169</v>
      </c>
      <c r="B19" s="75" t="s">
        <v>141</v>
      </c>
      <c r="C19" s="77" t="s">
        <v>3</v>
      </c>
      <c r="D19" s="77">
        <v>0</v>
      </c>
      <c r="E19" s="77">
        <f>$E$14*E8</f>
        <v>0.3</v>
      </c>
      <c r="F19" s="77">
        <f>$F$14*F8</f>
        <v>0.4</v>
      </c>
    </row>
    <row r="20" spans="1:7" ht="28.15" customHeight="1" x14ac:dyDescent="0.2">
      <c r="A20" s="71" t="s">
        <v>170</v>
      </c>
      <c r="B20" s="75" t="s">
        <v>143</v>
      </c>
      <c r="C20" s="77" t="s">
        <v>3</v>
      </c>
      <c r="D20" s="81">
        <f>SUM(D21:D23)</f>
        <v>0.18869760000000002</v>
      </c>
      <c r="E20" s="81">
        <f>SUM(E21:E23)</f>
        <v>0.31187519999999996</v>
      </c>
      <c r="F20" s="81">
        <f t="shared" ref="F20" si="0">SUM(F21:F23)</f>
        <v>1.5727040000000001</v>
      </c>
    </row>
    <row r="21" spans="1:7" ht="28.15" customHeight="1" x14ac:dyDescent="0.2">
      <c r="A21" s="71" t="s">
        <v>296</v>
      </c>
      <c r="B21" s="75" t="s">
        <v>299</v>
      </c>
      <c r="C21" s="77" t="s">
        <v>3</v>
      </c>
      <c r="D21" s="77">
        <v>0</v>
      </c>
      <c r="E21" s="77">
        <v>0</v>
      </c>
      <c r="F21" s="81">
        <f>(F45/2)*F77</f>
        <v>0.59975999999999996</v>
      </c>
      <c r="G21" s="431"/>
    </row>
    <row r="22" spans="1:7" ht="28.15" customHeight="1" x14ac:dyDescent="0.2">
      <c r="A22" s="71" t="s">
        <v>297</v>
      </c>
      <c r="B22" s="75" t="s">
        <v>200</v>
      </c>
      <c r="C22" s="77" t="s">
        <v>3</v>
      </c>
      <c r="D22" s="81">
        <f>(D40*D41)*D75</f>
        <v>0.18869760000000002</v>
      </c>
      <c r="E22" s="81">
        <f>(E40*E41)*E75</f>
        <v>0.31187519999999996</v>
      </c>
      <c r="F22" s="81">
        <f>(F40*F41)*F76</f>
        <v>0.89964</v>
      </c>
      <c r="G22" s="431"/>
    </row>
    <row r="23" spans="1:7" ht="28.15" customHeight="1" x14ac:dyDescent="0.2">
      <c r="A23" s="71" t="s">
        <v>298</v>
      </c>
      <c r="B23" s="75" t="s">
        <v>144</v>
      </c>
      <c r="C23" s="77" t="s">
        <v>3</v>
      </c>
      <c r="D23" s="76">
        <f>D51*D78/100</f>
        <v>0</v>
      </c>
      <c r="E23" s="76">
        <f>E51*E78/100</f>
        <v>0</v>
      </c>
      <c r="F23" s="76">
        <f>F51*F78/100</f>
        <v>7.3304000000000008E-2</v>
      </c>
      <c r="G23" s="279"/>
    </row>
    <row r="24" spans="1:7" ht="28.15" customHeight="1" x14ac:dyDescent="0.2">
      <c r="A24" s="71" t="s">
        <v>171</v>
      </c>
      <c r="B24" s="141" t="s">
        <v>146</v>
      </c>
      <c r="C24" s="77" t="s">
        <v>3</v>
      </c>
      <c r="D24" s="91">
        <f>SUM(D15:D20)</f>
        <v>2.5</v>
      </c>
      <c r="E24" s="91">
        <f t="shared" ref="E24:F24" si="1">SUM(E15:E20)</f>
        <v>5.0186751999999997</v>
      </c>
      <c r="F24" s="91">
        <f t="shared" si="1"/>
        <v>10.000704000000001</v>
      </c>
    </row>
    <row r="25" spans="1:7" s="84" customFormat="1" ht="28.15" customHeight="1" x14ac:dyDescent="0.2">
      <c r="A25" s="151" t="s">
        <v>220</v>
      </c>
      <c r="B25" s="152" t="s">
        <v>314</v>
      </c>
      <c r="C25" s="143"/>
      <c r="D25" s="140"/>
      <c r="E25" s="140"/>
      <c r="F25" s="140"/>
      <c r="G25" s="278"/>
    </row>
    <row r="26" spans="1:7" s="84" customFormat="1" ht="28.15" customHeight="1" x14ac:dyDescent="0.2">
      <c r="A26" s="71" t="s">
        <v>223</v>
      </c>
      <c r="B26" s="141" t="s">
        <v>218</v>
      </c>
      <c r="C26" s="139" t="s">
        <v>316</v>
      </c>
      <c r="D26" s="139">
        <f>D15*D71*10000*D69</f>
        <v>54000</v>
      </c>
      <c r="E26" s="139">
        <f>E15*E71*10000*E69</f>
        <v>108000</v>
      </c>
      <c r="F26" s="139">
        <f>F15*F71*10000*F69</f>
        <v>210000</v>
      </c>
      <c r="G26" s="278"/>
    </row>
    <row r="27" spans="1:7" s="84" customFormat="1" ht="28.15" customHeight="1" x14ac:dyDescent="0.2">
      <c r="A27" s="71" t="s">
        <v>224</v>
      </c>
      <c r="B27" s="141" t="s">
        <v>315</v>
      </c>
      <c r="C27" s="139" t="s">
        <v>317</v>
      </c>
      <c r="D27" s="139">
        <f>D26*D89</f>
        <v>43200</v>
      </c>
      <c r="E27" s="139">
        <f>E26*E89</f>
        <v>86400</v>
      </c>
      <c r="F27" s="139">
        <f>F26*F89</f>
        <v>168000</v>
      </c>
      <c r="G27" s="278"/>
    </row>
    <row r="28" spans="1:7" ht="28.15" customHeight="1" x14ac:dyDescent="0.2">
      <c r="A28" s="71" t="s">
        <v>318</v>
      </c>
      <c r="B28" s="141" t="s">
        <v>165</v>
      </c>
      <c r="C28" s="139" t="s">
        <v>205</v>
      </c>
      <c r="D28" s="139">
        <f>D27-D29</f>
        <v>38880</v>
      </c>
      <c r="E28" s="139">
        <f t="shared" ref="E28:F28" si="2">E27-E29</f>
        <v>73440</v>
      </c>
      <c r="F28" s="139">
        <f t="shared" si="2"/>
        <v>142800</v>
      </c>
    </row>
    <row r="29" spans="1:7" ht="28.15" customHeight="1" x14ac:dyDescent="0.2">
      <c r="A29" s="71" t="s">
        <v>319</v>
      </c>
      <c r="B29" s="141" t="s">
        <v>206</v>
      </c>
      <c r="C29" s="139" t="s">
        <v>205</v>
      </c>
      <c r="D29" s="139">
        <f>D27*D90</f>
        <v>4320</v>
      </c>
      <c r="E29" s="139">
        <f>E27*E90</f>
        <v>12960</v>
      </c>
      <c r="F29" s="139">
        <f>F27*F90</f>
        <v>25200</v>
      </c>
    </row>
    <row r="30" spans="1:7" ht="28.15" customHeight="1" x14ac:dyDescent="0.2">
      <c r="A30" s="71" t="s">
        <v>320</v>
      </c>
      <c r="B30" s="141" t="s">
        <v>212</v>
      </c>
      <c r="C30" s="139" t="s">
        <v>205</v>
      </c>
      <c r="D30" s="139">
        <f>D48*D88</f>
        <v>17172</v>
      </c>
      <c r="E30" s="139">
        <f>E48*E88</f>
        <v>35316</v>
      </c>
      <c r="F30" s="139">
        <f>F48*F88</f>
        <v>68670</v>
      </c>
      <c r="G30" s="433"/>
    </row>
    <row r="31" spans="1:7" ht="28.15" customHeight="1" x14ac:dyDescent="0.2">
      <c r="A31" s="71" t="s">
        <v>321</v>
      </c>
      <c r="B31" s="141" t="s">
        <v>322</v>
      </c>
      <c r="C31" s="139" t="s">
        <v>205</v>
      </c>
      <c r="D31" s="139">
        <v>0</v>
      </c>
      <c r="E31" s="139">
        <v>0</v>
      </c>
      <c r="F31" s="139">
        <v>0</v>
      </c>
      <c r="G31" s="433"/>
    </row>
    <row r="32" spans="1:7" ht="28.15" customHeight="1" x14ac:dyDescent="0.2">
      <c r="A32" s="71" t="s">
        <v>323</v>
      </c>
      <c r="B32" s="141" t="s">
        <v>207</v>
      </c>
      <c r="C32" s="139" t="s">
        <v>205</v>
      </c>
      <c r="D32" s="139">
        <f>(D18*10000)*D69</f>
        <v>257.4144</v>
      </c>
      <c r="E32" s="139">
        <f>(E18*10000)*E69</f>
        <v>300</v>
      </c>
      <c r="F32" s="139">
        <f>(F18*10000)*F69</f>
        <v>600</v>
      </c>
    </row>
    <row r="33" spans="1:7" ht="28.15" customHeight="1" x14ac:dyDescent="0.2">
      <c r="A33" s="71" t="s">
        <v>324</v>
      </c>
      <c r="B33" s="141" t="s">
        <v>208</v>
      </c>
      <c r="C33" s="139" t="s">
        <v>205</v>
      </c>
      <c r="D33" s="139">
        <v>0</v>
      </c>
      <c r="E33" s="139">
        <f>(E19*E69)*10000*E72</f>
        <v>9000</v>
      </c>
      <c r="F33" s="139">
        <f>(F19*F69)*10000*F72</f>
        <v>12000</v>
      </c>
    </row>
    <row r="34" spans="1:7" ht="28.15" customHeight="1" x14ac:dyDescent="0.2">
      <c r="A34" s="71" t="s">
        <v>329</v>
      </c>
      <c r="B34" s="141" t="s">
        <v>328</v>
      </c>
      <c r="C34" s="139" t="s">
        <v>205</v>
      </c>
      <c r="D34" s="91">
        <f>SUM(D35:D37)</f>
        <v>725.7600000000001</v>
      </c>
      <c r="E34" s="91">
        <f t="shared" ref="E34:F34" si="3">SUM(E35:E37)</f>
        <v>1199.52</v>
      </c>
      <c r="F34" s="91">
        <f t="shared" si="3"/>
        <v>15566.152</v>
      </c>
    </row>
    <row r="35" spans="1:7" ht="28.15" customHeight="1" x14ac:dyDescent="0.2">
      <c r="A35" s="71" t="s">
        <v>330</v>
      </c>
      <c r="B35" s="141" t="s">
        <v>327</v>
      </c>
      <c r="C35" s="139" t="s">
        <v>205</v>
      </c>
      <c r="D35" s="139">
        <v>0</v>
      </c>
      <c r="E35" s="139">
        <v>0</v>
      </c>
      <c r="F35" s="139">
        <f>(F45*F46)*F80</f>
        <v>10281.6</v>
      </c>
    </row>
    <row r="36" spans="1:7" ht="28.15" customHeight="1" x14ac:dyDescent="0.2">
      <c r="A36" s="71" t="s">
        <v>331</v>
      </c>
      <c r="B36" s="141" t="s">
        <v>326</v>
      </c>
      <c r="C36" s="139" t="s">
        <v>205</v>
      </c>
      <c r="D36" s="139">
        <f>(D40*D41)*D79</f>
        <v>725.7600000000001</v>
      </c>
      <c r="E36" s="139">
        <f>(E40*E41)*E79</f>
        <v>1199.52</v>
      </c>
      <c r="F36" s="139">
        <f>(F40*F41)*F79</f>
        <v>3598.56</v>
      </c>
    </row>
    <row r="37" spans="1:7" ht="28.15" customHeight="1" x14ac:dyDescent="0.2">
      <c r="A37" s="71" t="s">
        <v>332</v>
      </c>
      <c r="B37" s="141" t="s">
        <v>325</v>
      </c>
      <c r="C37" s="139" t="s">
        <v>205</v>
      </c>
      <c r="D37" s="139">
        <v>0</v>
      </c>
      <c r="E37" s="139">
        <v>0</v>
      </c>
      <c r="F37" s="91">
        <f>F51*F81</f>
        <v>1685.992</v>
      </c>
    </row>
    <row r="38" spans="1:7" ht="28.15" customHeight="1" x14ac:dyDescent="0.2">
      <c r="A38" s="151" t="s">
        <v>221</v>
      </c>
      <c r="B38" s="152" t="s">
        <v>358</v>
      </c>
      <c r="C38" s="88"/>
      <c r="D38" s="88"/>
      <c r="E38" s="88"/>
      <c r="F38" s="88"/>
    </row>
    <row r="39" spans="1:7" ht="28.15" customHeight="1" x14ac:dyDescent="0.2">
      <c r="A39" s="71" t="s">
        <v>335</v>
      </c>
      <c r="B39" s="141" t="s">
        <v>258</v>
      </c>
      <c r="C39" s="139" t="s">
        <v>202</v>
      </c>
      <c r="D39" s="87">
        <f>D28/D73</f>
        <v>1296</v>
      </c>
      <c r="E39" s="139">
        <f>E28/E73</f>
        <v>2448</v>
      </c>
      <c r="F39" s="139">
        <f>F28/F73</f>
        <v>4760</v>
      </c>
    </row>
    <row r="40" spans="1:7" ht="28.15" customHeight="1" x14ac:dyDescent="0.2">
      <c r="A40" s="71" t="s">
        <v>225</v>
      </c>
      <c r="B40" s="141" t="s">
        <v>157</v>
      </c>
      <c r="C40" s="139" t="s">
        <v>23</v>
      </c>
      <c r="D40" s="87">
        <f>D39*D84/1000</f>
        <v>90.72</v>
      </c>
      <c r="E40" s="87">
        <f>E39*E84/1000</f>
        <v>171.36</v>
      </c>
      <c r="F40" s="87">
        <f>F39*F84/1000</f>
        <v>333.2</v>
      </c>
      <c r="G40" s="433"/>
    </row>
    <row r="41" spans="1:7" ht="28.15" customHeight="1" x14ac:dyDescent="0.2">
      <c r="A41" s="71" t="s">
        <v>226</v>
      </c>
      <c r="B41" s="75" t="s">
        <v>420</v>
      </c>
      <c r="C41" s="77" t="s">
        <v>312</v>
      </c>
      <c r="D41" s="82">
        <v>0.8</v>
      </c>
      <c r="E41" s="82">
        <v>0.7</v>
      </c>
      <c r="F41" s="82">
        <v>0.9</v>
      </c>
      <c r="G41" s="433"/>
    </row>
    <row r="42" spans="1:7" ht="28.15" customHeight="1" x14ac:dyDescent="0.2">
      <c r="A42" s="71" t="s">
        <v>548</v>
      </c>
      <c r="B42" s="75" t="s">
        <v>418</v>
      </c>
      <c r="C42" s="77" t="s">
        <v>312</v>
      </c>
      <c r="D42" s="82">
        <v>0.8</v>
      </c>
      <c r="E42" s="82">
        <v>0.7</v>
      </c>
      <c r="F42" s="82">
        <v>0</v>
      </c>
      <c r="G42" s="433"/>
    </row>
    <row r="43" spans="1:7" ht="28.15" customHeight="1" x14ac:dyDescent="0.2">
      <c r="A43" s="71" t="s">
        <v>549</v>
      </c>
      <c r="B43" s="75" t="s">
        <v>419</v>
      </c>
      <c r="C43" s="77" t="s">
        <v>312</v>
      </c>
      <c r="D43" s="82">
        <v>0</v>
      </c>
      <c r="E43" s="82">
        <v>0</v>
      </c>
      <c r="F43" s="82">
        <v>0.9</v>
      </c>
      <c r="G43" s="433"/>
    </row>
    <row r="44" spans="1:7" ht="28.15" customHeight="1" x14ac:dyDescent="0.2">
      <c r="A44" s="71" t="s">
        <v>227</v>
      </c>
      <c r="B44" s="75" t="s">
        <v>158</v>
      </c>
      <c r="C44" s="77" t="s">
        <v>312</v>
      </c>
      <c r="D44" s="82">
        <v>0.2</v>
      </c>
      <c r="E44" s="82">
        <v>0.3</v>
      </c>
      <c r="F44" s="82">
        <v>0.1</v>
      </c>
      <c r="G44" s="433"/>
    </row>
    <row r="45" spans="1:7" ht="28.15" customHeight="1" x14ac:dyDescent="0.2">
      <c r="A45" s="71" t="s">
        <v>231</v>
      </c>
      <c r="B45" s="75" t="s">
        <v>159</v>
      </c>
      <c r="C45" s="77" t="s">
        <v>23</v>
      </c>
      <c r="D45" s="77">
        <f>D39*D83/1000</f>
        <v>233.28</v>
      </c>
      <c r="E45" s="77">
        <f>E39*E83/1000</f>
        <v>440.64</v>
      </c>
      <c r="F45" s="77">
        <f>F39*F83/1000</f>
        <v>856.8</v>
      </c>
      <c r="G45" s="433"/>
    </row>
    <row r="46" spans="1:7" ht="28.15" customHeight="1" x14ac:dyDescent="0.2">
      <c r="A46" s="71" t="s">
        <v>232</v>
      </c>
      <c r="B46" s="75" t="s">
        <v>160</v>
      </c>
      <c r="C46" s="77" t="s">
        <v>312</v>
      </c>
      <c r="D46" s="78">
        <v>0</v>
      </c>
      <c r="E46" s="78">
        <v>0</v>
      </c>
      <c r="F46" s="78">
        <v>0.8</v>
      </c>
    </row>
    <row r="47" spans="1:7" ht="28.15" customHeight="1" x14ac:dyDescent="0.2">
      <c r="A47" s="71" t="s">
        <v>233</v>
      </c>
      <c r="B47" s="75" t="s">
        <v>161</v>
      </c>
      <c r="C47" s="77" t="s">
        <v>312</v>
      </c>
      <c r="D47" s="78">
        <v>1</v>
      </c>
      <c r="E47" s="78">
        <v>1</v>
      </c>
      <c r="F47" s="78">
        <v>0.2</v>
      </c>
    </row>
    <row r="48" spans="1:7" ht="28.15" customHeight="1" x14ac:dyDescent="0.2">
      <c r="A48" s="71" t="s">
        <v>234</v>
      </c>
      <c r="B48" s="75" t="s">
        <v>214</v>
      </c>
      <c r="C48" s="77" t="s">
        <v>23</v>
      </c>
      <c r="D48" s="77">
        <f>SUM(D49:D50)</f>
        <v>572.4</v>
      </c>
      <c r="E48" s="77">
        <f t="shared" ref="E48:F48" si="4">SUM(E49:E50)</f>
        <v>1177.2</v>
      </c>
      <c r="F48" s="77">
        <f t="shared" si="4"/>
        <v>2289</v>
      </c>
    </row>
    <row r="49" spans="1:7" ht="28.15" customHeight="1" x14ac:dyDescent="0.2">
      <c r="A49" s="71" t="s">
        <v>336</v>
      </c>
      <c r="B49" s="75" t="s">
        <v>203</v>
      </c>
      <c r="C49" s="77" t="s">
        <v>23</v>
      </c>
      <c r="D49" s="77">
        <f>D28/D85</f>
        <v>486</v>
      </c>
      <c r="E49" s="77">
        <f>E28/E85</f>
        <v>918</v>
      </c>
      <c r="F49" s="77">
        <f>F28/F85</f>
        <v>1785</v>
      </c>
      <c r="G49" s="72"/>
    </row>
    <row r="50" spans="1:7" ht="28.15" customHeight="1" x14ac:dyDescent="0.2">
      <c r="A50" s="71" t="s">
        <v>337</v>
      </c>
      <c r="B50" s="75" t="s">
        <v>484</v>
      </c>
      <c r="C50" s="77" t="s">
        <v>23</v>
      </c>
      <c r="D50" s="139">
        <f>D29/D91</f>
        <v>86.4</v>
      </c>
      <c r="E50" s="139">
        <f>E29/E91</f>
        <v>259.2</v>
      </c>
      <c r="F50" s="139">
        <f>F29/F91</f>
        <v>504</v>
      </c>
      <c r="G50" s="72"/>
    </row>
    <row r="51" spans="1:7" ht="28.15" customHeight="1" x14ac:dyDescent="0.2">
      <c r="A51" s="71" t="s">
        <v>338</v>
      </c>
      <c r="B51" s="75" t="s">
        <v>485</v>
      </c>
      <c r="C51" s="77" t="s">
        <v>204</v>
      </c>
      <c r="D51" s="77">
        <f>D50*D52</f>
        <v>0</v>
      </c>
      <c r="E51" s="77">
        <f>E52*E50</f>
        <v>0</v>
      </c>
      <c r="F51" s="81">
        <f>F39*F82/1000</f>
        <v>73.304000000000002</v>
      </c>
      <c r="G51" s="72"/>
    </row>
    <row r="52" spans="1:7" ht="28.15" customHeight="1" x14ac:dyDescent="0.2">
      <c r="A52" s="71" t="s">
        <v>339</v>
      </c>
      <c r="B52" s="75" t="s">
        <v>162</v>
      </c>
      <c r="C52" s="77" t="s">
        <v>312</v>
      </c>
      <c r="D52" s="78">
        <v>0</v>
      </c>
      <c r="E52" s="78">
        <v>0</v>
      </c>
      <c r="F52" s="78">
        <v>1</v>
      </c>
      <c r="G52" s="72"/>
    </row>
    <row r="53" spans="1:7" ht="28.15" customHeight="1" x14ac:dyDescent="0.2">
      <c r="A53" s="71" t="s">
        <v>340</v>
      </c>
      <c r="B53" s="75" t="s">
        <v>163</v>
      </c>
      <c r="C53" s="77" t="s">
        <v>312</v>
      </c>
      <c r="D53" s="78">
        <v>1</v>
      </c>
      <c r="E53" s="78">
        <v>1</v>
      </c>
      <c r="F53" s="78">
        <v>0</v>
      </c>
      <c r="G53" s="72"/>
    </row>
    <row r="54" spans="1:7" ht="28.15" customHeight="1" x14ac:dyDescent="0.2">
      <c r="A54" s="151" t="s">
        <v>222</v>
      </c>
      <c r="B54" s="152" t="s">
        <v>357</v>
      </c>
      <c r="C54" s="142"/>
      <c r="D54" s="142"/>
      <c r="E54" s="142"/>
      <c r="F54" s="142"/>
      <c r="G54" s="72"/>
    </row>
    <row r="55" spans="1:7" ht="28.15" customHeight="1" x14ac:dyDescent="0.2">
      <c r="A55" s="71" t="s">
        <v>228</v>
      </c>
      <c r="B55" s="141" t="s">
        <v>172</v>
      </c>
      <c r="C55" s="139" t="s">
        <v>305</v>
      </c>
      <c r="D55" s="91">
        <f>(D26+D34+D31+D33+D32)/(D14*10000)</f>
        <v>2.199326976</v>
      </c>
      <c r="E55" s="91">
        <f t="shared" ref="E55:F55" si="5">(E26+E34+E31+E33+E32)/(E14*10000)</f>
        <v>2.3699904000000003</v>
      </c>
      <c r="F55" s="91">
        <f t="shared" si="5"/>
        <v>2.3816615200000002</v>
      </c>
      <c r="G55" s="72"/>
    </row>
    <row r="56" spans="1:7" ht="28.15" customHeight="1" x14ac:dyDescent="0.2">
      <c r="A56" s="71" t="s">
        <v>550</v>
      </c>
      <c r="B56" s="141" t="s">
        <v>236</v>
      </c>
      <c r="C56" s="139" t="s">
        <v>305</v>
      </c>
      <c r="D56" s="91">
        <f>(D26+D34+D31+D33+D32)/((D14-D16)*10000)</f>
        <v>3.1418956800000002</v>
      </c>
      <c r="E56" s="91">
        <f>(E26+E34+E31+E33+E32)/((E14-E16)*10000)</f>
        <v>3.3857005714285715</v>
      </c>
      <c r="F56" s="91">
        <f>(F26+F34+F31+F33+F32)/((F14-F16)*10000)</f>
        <v>3.4023736000000002</v>
      </c>
      <c r="G56" s="72"/>
    </row>
    <row r="57" spans="1:7" ht="28.15" customHeight="1" x14ac:dyDescent="0.2">
      <c r="A57" s="71" t="s">
        <v>229</v>
      </c>
      <c r="B57" s="141" t="s">
        <v>210</v>
      </c>
      <c r="C57" s="139" t="s">
        <v>209</v>
      </c>
      <c r="D57" s="87">
        <f>D39/D14</f>
        <v>518.4</v>
      </c>
      <c r="E57" s="87">
        <f>E39/E14</f>
        <v>489.6</v>
      </c>
      <c r="F57" s="87">
        <f>F39/F14</f>
        <v>476</v>
      </c>
      <c r="G57" s="72"/>
    </row>
    <row r="58" spans="1:7" ht="28.15" customHeight="1" x14ac:dyDescent="0.2">
      <c r="A58" s="71" t="s">
        <v>230</v>
      </c>
      <c r="B58" s="141" t="s">
        <v>173</v>
      </c>
      <c r="C58" s="139" t="s">
        <v>190</v>
      </c>
      <c r="D58" s="91">
        <f>D30/(D15*10000)</f>
        <v>1.7172000000000001</v>
      </c>
      <c r="E58" s="91">
        <f>E30/(E15*10000)</f>
        <v>1.7658</v>
      </c>
      <c r="F58" s="91">
        <f>F30/(F15*10000)</f>
        <v>1.962</v>
      </c>
      <c r="G58" s="72"/>
    </row>
    <row r="59" spans="1:7" ht="28.15" customHeight="1" x14ac:dyDescent="0.2">
      <c r="D59" s="139"/>
      <c r="E59" s="139"/>
      <c r="F59" s="91"/>
      <c r="G59" s="72"/>
    </row>
    <row r="60" spans="1:7" ht="28.15" customHeight="1" x14ac:dyDescent="0.2">
      <c r="D60" s="139"/>
      <c r="E60" s="139"/>
      <c r="F60" s="91"/>
      <c r="G60" s="72"/>
    </row>
    <row r="61" spans="1:7" ht="28.15" customHeight="1" x14ac:dyDescent="0.2">
      <c r="D61" s="139"/>
      <c r="E61" s="139"/>
      <c r="F61" s="91"/>
      <c r="G61" s="72"/>
    </row>
    <row r="62" spans="1:7" ht="28.15" customHeight="1" x14ac:dyDescent="0.2">
      <c r="D62" s="139"/>
      <c r="E62" s="139"/>
      <c r="F62" s="91"/>
      <c r="G62" s="72"/>
    </row>
    <row r="63" spans="1:7" ht="28.15" customHeight="1" x14ac:dyDescent="0.2">
      <c r="D63" s="139"/>
      <c r="E63" s="139"/>
      <c r="F63" s="91"/>
      <c r="G63" s="72"/>
    </row>
    <row r="64" spans="1:7" ht="28.15" customHeight="1" x14ac:dyDescent="0.2">
      <c r="D64" s="139"/>
      <c r="E64" s="139"/>
      <c r="F64" s="91"/>
      <c r="G64" s="72"/>
    </row>
    <row r="65" spans="1:7" ht="28.15" customHeight="1" x14ac:dyDescent="0.2">
      <c r="D65" s="139"/>
      <c r="E65" s="139"/>
      <c r="F65" s="139"/>
    </row>
    <row r="66" spans="1:7" ht="28.15" customHeight="1" x14ac:dyDescent="0.2">
      <c r="D66" s="139"/>
      <c r="E66" s="139"/>
      <c r="F66" s="139"/>
    </row>
    <row r="67" spans="1:7" ht="28.15" customHeight="1" x14ac:dyDescent="0.2">
      <c r="A67" s="150"/>
      <c r="B67" s="429" t="s">
        <v>360</v>
      </c>
      <c r="C67" s="429"/>
      <c r="D67" s="429"/>
      <c r="E67" s="429"/>
      <c r="F67" s="429"/>
      <c r="G67" s="278"/>
    </row>
    <row r="68" spans="1:7" ht="28.15" customHeight="1" x14ac:dyDescent="0.2">
      <c r="A68" s="148" t="s">
        <v>289</v>
      </c>
      <c r="B68" s="148" t="s">
        <v>293</v>
      </c>
      <c r="C68" s="277" t="s">
        <v>181</v>
      </c>
      <c r="D68" s="277" t="s">
        <v>290</v>
      </c>
      <c r="E68" s="277" t="s">
        <v>291</v>
      </c>
      <c r="F68" s="277" t="s">
        <v>292</v>
      </c>
      <c r="G68" s="278"/>
    </row>
    <row r="69" spans="1:7" ht="28.15" customHeight="1" x14ac:dyDescent="0.2">
      <c r="A69" s="71" t="s">
        <v>134</v>
      </c>
      <c r="B69" s="141" t="s">
        <v>147</v>
      </c>
      <c r="C69" s="139" t="s">
        <v>304</v>
      </c>
      <c r="D69" s="139">
        <v>0.6</v>
      </c>
      <c r="E69" s="139">
        <v>0.6</v>
      </c>
      <c r="F69" s="139">
        <v>0.6</v>
      </c>
      <c r="G69" s="278"/>
    </row>
    <row r="70" spans="1:7" ht="28.15" customHeight="1" x14ac:dyDescent="0.2">
      <c r="A70" s="71" t="s">
        <v>145</v>
      </c>
      <c r="B70" s="141" t="s">
        <v>612</v>
      </c>
      <c r="C70" s="139" t="s">
        <v>305</v>
      </c>
      <c r="D70" s="139">
        <v>1.6</v>
      </c>
      <c r="E70" s="139">
        <v>1.6</v>
      </c>
      <c r="F70" s="139">
        <v>1.6</v>
      </c>
      <c r="G70" s="278"/>
    </row>
    <row r="71" spans="1:7" ht="28.15" customHeight="1" x14ac:dyDescent="0.2">
      <c r="A71" s="71" t="s">
        <v>220</v>
      </c>
      <c r="B71" s="141" t="s">
        <v>149</v>
      </c>
      <c r="C71" s="139" t="s">
        <v>192</v>
      </c>
      <c r="D71" s="139">
        <v>9</v>
      </c>
      <c r="E71" s="139">
        <v>9</v>
      </c>
      <c r="F71" s="139">
        <v>10</v>
      </c>
    </row>
    <row r="72" spans="1:7" ht="28.15" customHeight="1" x14ac:dyDescent="0.2">
      <c r="A72" s="71" t="s">
        <v>221</v>
      </c>
      <c r="B72" s="141" t="s">
        <v>191</v>
      </c>
      <c r="C72" s="139" t="s">
        <v>192</v>
      </c>
      <c r="D72" s="139" t="s">
        <v>68</v>
      </c>
      <c r="E72" s="139">
        <v>5</v>
      </c>
      <c r="F72" s="139">
        <v>5</v>
      </c>
    </row>
    <row r="73" spans="1:7" ht="28.15" customHeight="1" x14ac:dyDescent="0.2">
      <c r="A73" s="71" t="s">
        <v>222</v>
      </c>
      <c r="B73" s="141" t="s">
        <v>193</v>
      </c>
      <c r="C73" s="139" t="s">
        <v>194</v>
      </c>
      <c r="D73" s="139">
        <v>30</v>
      </c>
      <c r="E73" s="139">
        <v>30</v>
      </c>
      <c r="F73" s="139">
        <v>30</v>
      </c>
      <c r="G73" s="85"/>
    </row>
    <row r="74" spans="1:7" ht="28.15" customHeight="1" x14ac:dyDescent="0.2">
      <c r="A74" s="71" t="s">
        <v>235</v>
      </c>
      <c r="B74" s="141" t="s">
        <v>195</v>
      </c>
      <c r="C74" s="139" t="s">
        <v>3</v>
      </c>
      <c r="D74" s="139">
        <v>4.0000000000000002E-4</v>
      </c>
      <c r="E74" s="139">
        <v>3.5E-4</v>
      </c>
      <c r="F74" s="139">
        <v>2.9999999999999997E-4</v>
      </c>
      <c r="G74" s="85"/>
    </row>
    <row r="75" spans="1:7" ht="28.15" customHeight="1" x14ac:dyDescent="0.2">
      <c r="A75" s="71" t="s">
        <v>341</v>
      </c>
      <c r="B75" s="141" t="s">
        <v>367</v>
      </c>
      <c r="C75" s="139" t="s">
        <v>3</v>
      </c>
      <c r="D75" s="139">
        <v>2.5999999999999999E-3</v>
      </c>
      <c r="E75" s="139">
        <v>2.5999999999999999E-3</v>
      </c>
      <c r="F75" s="139">
        <v>2.5999999999999999E-3</v>
      </c>
    </row>
    <row r="76" spans="1:7" ht="28.15" customHeight="1" x14ac:dyDescent="0.2">
      <c r="A76" s="71" t="s">
        <v>342</v>
      </c>
      <c r="B76" s="141" t="s">
        <v>368</v>
      </c>
      <c r="C76" s="139" t="s">
        <v>3</v>
      </c>
      <c r="D76" s="139">
        <v>3.0000000000000001E-3</v>
      </c>
      <c r="E76" s="139">
        <v>3.0000000000000001E-3</v>
      </c>
      <c r="F76" s="139">
        <v>3.0000000000000001E-3</v>
      </c>
    </row>
    <row r="77" spans="1:7" ht="28.15" customHeight="1" x14ac:dyDescent="0.2">
      <c r="A77" s="71" t="s">
        <v>343</v>
      </c>
      <c r="B77" s="141" t="s">
        <v>196</v>
      </c>
      <c r="C77" s="139" t="s">
        <v>3</v>
      </c>
      <c r="D77" s="139">
        <v>1.4E-3</v>
      </c>
      <c r="E77" s="139">
        <v>1.4E-3</v>
      </c>
      <c r="F77" s="139">
        <v>1.4E-3</v>
      </c>
    </row>
    <row r="78" spans="1:7" ht="28.15" customHeight="1" x14ac:dyDescent="0.2">
      <c r="A78" s="71" t="s">
        <v>344</v>
      </c>
      <c r="B78" s="141" t="s">
        <v>152</v>
      </c>
      <c r="C78" s="139" t="s">
        <v>3</v>
      </c>
      <c r="D78" s="139">
        <v>0.1</v>
      </c>
      <c r="E78" s="139">
        <v>0.1</v>
      </c>
      <c r="F78" s="139">
        <v>0.1</v>
      </c>
    </row>
    <row r="79" spans="1:7" ht="28.15" customHeight="1" x14ac:dyDescent="0.2">
      <c r="A79" s="71" t="s">
        <v>345</v>
      </c>
      <c r="B79" s="141" t="s">
        <v>153</v>
      </c>
      <c r="C79" s="139" t="s">
        <v>194</v>
      </c>
      <c r="D79" s="139">
        <v>10</v>
      </c>
      <c r="E79" s="139">
        <v>10</v>
      </c>
      <c r="F79" s="139">
        <v>12</v>
      </c>
    </row>
    <row r="80" spans="1:7" ht="28.15" customHeight="1" x14ac:dyDescent="0.2">
      <c r="A80" s="71" t="s">
        <v>346</v>
      </c>
      <c r="B80" s="141" t="s">
        <v>197</v>
      </c>
      <c r="C80" s="139" t="s">
        <v>194</v>
      </c>
      <c r="D80" s="139">
        <v>15</v>
      </c>
      <c r="E80" s="139">
        <v>15</v>
      </c>
      <c r="F80" s="139">
        <v>15</v>
      </c>
    </row>
    <row r="81" spans="1:7" ht="28.15" customHeight="1" x14ac:dyDescent="0.2">
      <c r="A81" s="71" t="s">
        <v>347</v>
      </c>
      <c r="B81" s="141" t="s">
        <v>408</v>
      </c>
      <c r="C81" s="139" t="s">
        <v>194</v>
      </c>
      <c r="D81" s="139">
        <v>23</v>
      </c>
      <c r="E81" s="139">
        <v>23</v>
      </c>
      <c r="F81" s="139">
        <v>23</v>
      </c>
      <c r="G81" s="72"/>
    </row>
    <row r="82" spans="1:7" ht="28.15" customHeight="1" x14ac:dyDescent="0.2">
      <c r="A82" s="71" t="s">
        <v>348</v>
      </c>
      <c r="B82" s="141" t="s">
        <v>144</v>
      </c>
      <c r="C82" s="139" t="s">
        <v>308</v>
      </c>
      <c r="D82" s="139">
        <v>15.4</v>
      </c>
      <c r="E82" s="139">
        <v>15.4</v>
      </c>
      <c r="F82" s="139">
        <v>15.4</v>
      </c>
      <c r="G82" s="72"/>
    </row>
    <row r="83" spans="1:7" ht="28.15" customHeight="1" x14ac:dyDescent="0.2">
      <c r="A83" s="71" t="s">
        <v>349</v>
      </c>
      <c r="B83" s="141" t="s">
        <v>198</v>
      </c>
      <c r="C83" s="139" t="s">
        <v>307</v>
      </c>
      <c r="D83" s="139">
        <v>180</v>
      </c>
      <c r="E83" s="139">
        <v>180</v>
      </c>
      <c r="F83" s="139">
        <v>180</v>
      </c>
      <c r="G83" s="72"/>
    </row>
    <row r="84" spans="1:7" ht="28.15" customHeight="1" x14ac:dyDescent="0.2">
      <c r="A84" s="71" t="s">
        <v>350</v>
      </c>
      <c r="B84" s="141" t="s">
        <v>154</v>
      </c>
      <c r="C84" s="139" t="s">
        <v>307</v>
      </c>
      <c r="D84" s="139">
        <v>70</v>
      </c>
      <c r="E84" s="139">
        <v>70</v>
      </c>
      <c r="F84" s="139">
        <v>70</v>
      </c>
      <c r="G84" s="72"/>
    </row>
    <row r="85" spans="1:7" ht="28.15" customHeight="1" x14ac:dyDescent="0.2">
      <c r="A85" s="71" t="s">
        <v>351</v>
      </c>
      <c r="B85" s="141" t="s">
        <v>309</v>
      </c>
      <c r="C85" s="139" t="s">
        <v>199</v>
      </c>
      <c r="D85" s="139">
        <v>80</v>
      </c>
      <c r="E85" s="139">
        <v>80</v>
      </c>
      <c r="F85" s="139">
        <v>80</v>
      </c>
      <c r="G85" s="72"/>
    </row>
    <row r="86" spans="1:7" ht="28.15" customHeight="1" x14ac:dyDescent="0.2">
      <c r="A86" s="71" t="s">
        <v>352</v>
      </c>
      <c r="B86" s="141" t="s">
        <v>155</v>
      </c>
      <c r="C86" s="139" t="s">
        <v>410</v>
      </c>
      <c r="D86" s="168">
        <v>1.2</v>
      </c>
      <c r="E86" s="168">
        <v>1.2</v>
      </c>
      <c r="F86" s="168">
        <v>1.2</v>
      </c>
      <c r="G86" s="72"/>
    </row>
    <row r="87" spans="1:7" ht="28.15" customHeight="1" x14ac:dyDescent="0.2">
      <c r="A87" s="71" t="s">
        <v>353</v>
      </c>
      <c r="B87" s="141" t="s">
        <v>156</v>
      </c>
      <c r="C87" s="139" t="s">
        <v>410</v>
      </c>
      <c r="D87" s="168">
        <v>1.2</v>
      </c>
      <c r="E87" s="168">
        <v>1.2</v>
      </c>
      <c r="F87" s="168">
        <v>1.2</v>
      </c>
      <c r="G87" s="72"/>
    </row>
    <row r="88" spans="1:7" ht="28.15" customHeight="1" x14ac:dyDescent="0.2">
      <c r="A88" s="71" t="s">
        <v>354</v>
      </c>
      <c r="B88" s="141" t="s">
        <v>201</v>
      </c>
      <c r="C88" s="139" t="s">
        <v>199</v>
      </c>
      <c r="D88" s="139">
        <v>30</v>
      </c>
      <c r="E88" s="139">
        <v>30</v>
      </c>
      <c r="F88" s="139">
        <v>30</v>
      </c>
      <c r="G88" s="72"/>
    </row>
    <row r="89" spans="1:7" ht="28.15" customHeight="1" x14ac:dyDescent="0.2">
      <c r="A89" s="71" t="s">
        <v>355</v>
      </c>
      <c r="B89" s="141" t="s">
        <v>486</v>
      </c>
      <c r="C89" s="139" t="s">
        <v>24</v>
      </c>
      <c r="D89" s="86">
        <v>0.8</v>
      </c>
      <c r="E89" s="86">
        <v>0.8</v>
      </c>
      <c r="F89" s="86">
        <v>0.8</v>
      </c>
      <c r="G89" s="72"/>
    </row>
    <row r="90" spans="1:7" ht="28.15" customHeight="1" x14ac:dyDescent="0.2">
      <c r="A90" s="71" t="s">
        <v>356</v>
      </c>
      <c r="B90" s="141" t="s">
        <v>311</v>
      </c>
      <c r="C90" s="139" t="s">
        <v>24</v>
      </c>
      <c r="D90" s="86">
        <v>0.1</v>
      </c>
      <c r="E90" s="86">
        <v>0.15</v>
      </c>
      <c r="F90" s="86">
        <v>0.15</v>
      </c>
      <c r="G90" s="72"/>
    </row>
    <row r="91" spans="1:7" ht="28.15" customHeight="1" x14ac:dyDescent="0.2">
      <c r="A91" s="71" t="s">
        <v>369</v>
      </c>
      <c r="B91" s="141" t="s">
        <v>310</v>
      </c>
      <c r="C91" s="139" t="s">
        <v>205</v>
      </c>
      <c r="D91" s="139">
        <v>50</v>
      </c>
      <c r="E91" s="139">
        <v>50</v>
      </c>
      <c r="F91" s="139">
        <v>50</v>
      </c>
      <c r="G91" s="72"/>
    </row>
    <row r="92" spans="1:7" ht="28.15" customHeight="1" x14ac:dyDescent="0.2">
      <c r="G92" s="72"/>
    </row>
    <row r="93" spans="1:7" ht="28.15" customHeight="1" x14ac:dyDescent="0.2">
      <c r="G93" s="72"/>
    </row>
    <row r="94" spans="1:7" ht="28.15" customHeight="1" x14ac:dyDescent="0.2">
      <c r="G94" s="72"/>
    </row>
    <row r="95" spans="1:7" ht="28.15" customHeight="1" x14ac:dyDescent="0.2">
      <c r="G95" s="72"/>
    </row>
    <row r="96" spans="1:7" ht="28.15" customHeight="1" x14ac:dyDescent="0.2">
      <c r="G96" s="72"/>
    </row>
    <row r="97" s="72" customFormat="1" ht="28.15" customHeight="1" x14ac:dyDescent="0.2"/>
    <row r="98" s="72" customFormat="1" ht="28.15" customHeight="1" x14ac:dyDescent="0.2"/>
    <row r="99" s="72" customFormat="1" ht="28.15" customHeight="1" x14ac:dyDescent="0.2"/>
    <row r="100" s="72" customFormat="1" ht="28.15" customHeight="1" x14ac:dyDescent="0.2"/>
    <row r="101" s="72" customFormat="1" ht="28.15" customHeight="1" x14ac:dyDescent="0.2"/>
    <row r="102" s="72" customFormat="1" ht="28.15" customHeight="1" x14ac:dyDescent="0.2"/>
    <row r="103" s="72" customFormat="1" ht="28.15" customHeight="1" x14ac:dyDescent="0.2"/>
    <row r="104" s="72" customFormat="1" ht="28.15" customHeight="1" x14ac:dyDescent="0.2"/>
    <row r="105" s="72" customFormat="1" ht="28.15" customHeight="1" x14ac:dyDescent="0.2"/>
    <row r="106" s="72" customFormat="1" ht="28.15" customHeight="1" x14ac:dyDescent="0.2"/>
    <row r="107" s="72" customFormat="1" ht="28.15" customHeight="1" x14ac:dyDescent="0.2"/>
    <row r="108" s="72" customFormat="1" ht="28.15" customHeight="1" x14ac:dyDescent="0.2"/>
    <row r="109" s="72" customFormat="1" ht="28.15" customHeight="1" x14ac:dyDescent="0.2"/>
    <row r="110" s="72" customFormat="1" ht="28.15" customHeight="1" x14ac:dyDescent="0.2"/>
    <row r="111" s="72" customFormat="1" ht="28.15" customHeight="1" x14ac:dyDescent="0.2"/>
    <row r="112" s="72" customFormat="1" ht="28.15" customHeight="1" x14ac:dyDescent="0.2"/>
    <row r="113" s="72" customFormat="1" ht="28.15" customHeight="1" x14ac:dyDescent="0.2"/>
    <row r="114" s="72" customFormat="1" ht="28.15" customHeight="1" x14ac:dyDescent="0.2"/>
    <row r="115" s="72" customFormat="1" ht="28.15" customHeight="1" x14ac:dyDescent="0.2"/>
    <row r="116" s="72" customFormat="1" ht="28.15" customHeight="1" x14ac:dyDescent="0.2"/>
    <row r="117" s="72" customFormat="1" ht="28.15" customHeight="1" x14ac:dyDescent="0.2"/>
    <row r="118" s="72" customFormat="1" ht="28.15" customHeight="1" x14ac:dyDescent="0.2"/>
    <row r="119" s="72" customFormat="1" ht="28.15" customHeight="1" x14ac:dyDescent="0.2"/>
  </sheetData>
  <mergeCells count="6">
    <mergeCell ref="B67:F67"/>
    <mergeCell ref="G16:G17"/>
    <mergeCell ref="G21:G22"/>
    <mergeCell ref="A1:F1"/>
    <mergeCell ref="G30:G31"/>
    <mergeCell ref="G40:G45"/>
  </mergeCell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B0F0"/>
  </sheetPr>
  <dimension ref="A1:P216"/>
  <sheetViews>
    <sheetView tabSelected="1" zoomScale="59" zoomScaleNormal="59" zoomScalePageLayoutView="70" workbookViewId="0">
      <pane ySplit="1" topLeftCell="A2" activePane="bottomLeft" state="frozen"/>
      <selection pane="bottomLeft" activeCell="A188" sqref="A188"/>
    </sheetView>
  </sheetViews>
  <sheetFormatPr defaultColWidth="11" defaultRowHeight="18" x14ac:dyDescent="0.25"/>
  <cols>
    <col min="1" max="1" width="113.75" style="46" customWidth="1"/>
    <col min="2" max="2" width="23.75" style="46" customWidth="1"/>
    <col min="3" max="3" width="17.75" style="46" customWidth="1"/>
    <col min="4" max="4" width="24.5" style="46" bestFit="1" customWidth="1"/>
    <col min="5" max="14" width="14" style="46" customWidth="1"/>
    <col min="15" max="16384" width="11" style="2"/>
  </cols>
  <sheetData>
    <row r="1" spans="1:14" x14ac:dyDescent="0.25">
      <c r="A1" s="1" t="s">
        <v>293</v>
      </c>
      <c r="B1" s="1" t="s">
        <v>1</v>
      </c>
      <c r="C1" s="1" t="s">
        <v>2</v>
      </c>
      <c r="D1" s="1" t="s">
        <v>75</v>
      </c>
      <c r="E1" s="1">
        <f>'Базовые параметры'!D3</f>
        <v>2022</v>
      </c>
      <c r="F1" s="1">
        <f>E1+1</f>
        <v>2023</v>
      </c>
      <c r="G1" s="1">
        <f t="shared" ref="G1:N1" si="0">F1+1</f>
        <v>2024</v>
      </c>
      <c r="H1" s="1">
        <f t="shared" si="0"/>
        <v>2025</v>
      </c>
      <c r="I1" s="1">
        <f t="shared" si="0"/>
        <v>2026</v>
      </c>
      <c r="J1" s="1">
        <f t="shared" si="0"/>
        <v>2027</v>
      </c>
      <c r="K1" s="1">
        <f t="shared" si="0"/>
        <v>2028</v>
      </c>
      <c r="L1" s="1">
        <f t="shared" si="0"/>
        <v>2029</v>
      </c>
      <c r="M1" s="1">
        <f t="shared" si="0"/>
        <v>2030</v>
      </c>
      <c r="N1" s="1">
        <f t="shared" si="0"/>
        <v>2031</v>
      </c>
    </row>
    <row r="2" spans="1:14" ht="20.25" x14ac:dyDescent="0.25">
      <c r="A2" s="383" t="s">
        <v>467</v>
      </c>
      <c r="B2" s="397"/>
      <c r="C2" s="398"/>
      <c r="D2" s="416"/>
      <c r="E2" s="417"/>
      <c r="F2" s="375"/>
      <c r="G2" s="397"/>
      <c r="H2" s="397"/>
      <c r="I2" s="397"/>
      <c r="J2" s="397"/>
      <c r="K2" s="397"/>
      <c r="L2" s="397"/>
      <c r="M2" s="397"/>
      <c r="N2" s="397"/>
    </row>
    <row r="3" spans="1:14" x14ac:dyDescent="0.25">
      <c r="A3" s="9" t="s">
        <v>245</v>
      </c>
      <c r="B3" s="404"/>
      <c r="C3" s="405"/>
      <c r="D3" s="414"/>
      <c r="E3" s="415"/>
      <c r="F3" s="389"/>
      <c r="G3" s="404"/>
      <c r="H3" s="404"/>
      <c r="I3" s="404"/>
      <c r="J3" s="404"/>
      <c r="K3" s="404"/>
      <c r="L3" s="404"/>
      <c r="M3" s="404"/>
      <c r="N3" s="404"/>
    </row>
    <row r="4" spans="1:14" ht="54" x14ac:dyDescent="0.25">
      <c r="A4" s="94" t="s">
        <v>551</v>
      </c>
      <c r="B4" s="101" t="s">
        <v>19</v>
      </c>
      <c r="C4" s="8" t="s">
        <v>247</v>
      </c>
      <c r="D4" s="95">
        <f>'Исходные данные'!D14</f>
        <v>4</v>
      </c>
      <c r="E4" s="323">
        <f>D4*'Базовые параметры'!D9*('Экономическая модель проекта'!D63+'Экономическая модель проекта'!D64)+D4*'Базовые параметры'!D12</f>
        <v>3.3200000000000003</v>
      </c>
      <c r="F4" s="323">
        <v>0</v>
      </c>
      <c r="G4" s="323">
        <v>0</v>
      </c>
      <c r="H4" s="323">
        <v>0</v>
      </c>
      <c r="I4" s="323">
        <f>D4-E4</f>
        <v>0.67999999999999972</v>
      </c>
      <c r="J4" s="323">
        <v>0</v>
      </c>
      <c r="K4" s="323">
        <v>0</v>
      </c>
      <c r="L4" s="323">
        <v>0</v>
      </c>
      <c r="M4" s="323">
        <v>0</v>
      </c>
      <c r="N4" s="323">
        <v>0</v>
      </c>
    </row>
    <row r="5" spans="1:14" ht="54" x14ac:dyDescent="0.3">
      <c r="A5" s="97" t="s">
        <v>552</v>
      </c>
      <c r="B5" s="101" t="s">
        <v>19</v>
      </c>
      <c r="C5" s="8" t="s">
        <v>247</v>
      </c>
      <c r="D5" s="95" t="s">
        <v>68</v>
      </c>
      <c r="E5" s="323">
        <f>E4</f>
        <v>3.3200000000000003</v>
      </c>
      <c r="F5" s="323">
        <f>E5+F4</f>
        <v>3.3200000000000003</v>
      </c>
      <c r="G5" s="323">
        <f t="shared" ref="G5:I5" si="1">F5+G4</f>
        <v>3.3200000000000003</v>
      </c>
      <c r="H5" s="323">
        <f t="shared" si="1"/>
        <v>3.3200000000000003</v>
      </c>
      <c r="I5" s="323">
        <f t="shared" si="1"/>
        <v>4</v>
      </c>
      <c r="J5" s="323">
        <f>I5+J4</f>
        <v>4</v>
      </c>
      <c r="K5" s="323">
        <f t="shared" ref="K5:N5" si="2">J5+K4</f>
        <v>4</v>
      </c>
      <c r="L5" s="323">
        <f t="shared" si="2"/>
        <v>4</v>
      </c>
      <c r="M5" s="323">
        <f t="shared" si="2"/>
        <v>4</v>
      </c>
      <c r="N5" s="323">
        <f t="shared" si="2"/>
        <v>4</v>
      </c>
    </row>
    <row r="6" spans="1:14" ht="54" x14ac:dyDescent="0.25">
      <c r="A6" s="94" t="s">
        <v>553</v>
      </c>
      <c r="B6" s="101" t="s">
        <v>19</v>
      </c>
      <c r="C6" s="8" t="s">
        <v>247</v>
      </c>
      <c r="D6" s="95">
        <f>'Исходные данные'!D15</f>
        <v>4</v>
      </c>
      <c r="E6" s="323">
        <f>D6*'Базовые параметры'!D15*('Экономическая модель проекта'!D63+'Экономическая модель проекта'!D64)+'Экономическая модель проекта'!D6*'Базовые параметры'!D12</f>
        <v>3.3200000000000003</v>
      </c>
      <c r="F6" s="323">
        <v>0</v>
      </c>
      <c r="G6" s="323">
        <v>0</v>
      </c>
      <c r="H6" s="323">
        <v>0</v>
      </c>
      <c r="I6" s="323">
        <f>D6-E6</f>
        <v>0.67999999999999972</v>
      </c>
      <c r="J6" s="323">
        <v>0</v>
      </c>
      <c r="K6" s="323">
        <v>0</v>
      </c>
      <c r="L6" s="323">
        <v>0</v>
      </c>
      <c r="M6" s="323">
        <v>0</v>
      </c>
      <c r="N6" s="323">
        <v>0</v>
      </c>
    </row>
    <row r="7" spans="1:14" ht="54" x14ac:dyDescent="0.3">
      <c r="A7" s="97" t="s">
        <v>554</v>
      </c>
      <c r="B7" s="101" t="s">
        <v>19</v>
      </c>
      <c r="C7" s="8" t="s">
        <v>247</v>
      </c>
      <c r="D7" s="95" t="s">
        <v>68</v>
      </c>
      <c r="E7" s="323">
        <f>E6</f>
        <v>3.3200000000000003</v>
      </c>
      <c r="F7" s="323">
        <f>E7+F6</f>
        <v>3.3200000000000003</v>
      </c>
      <c r="G7" s="323">
        <f t="shared" ref="G7:N7" si="3">F7+G6</f>
        <v>3.3200000000000003</v>
      </c>
      <c r="H7" s="323">
        <f t="shared" si="3"/>
        <v>3.3200000000000003</v>
      </c>
      <c r="I7" s="323">
        <f t="shared" si="3"/>
        <v>4</v>
      </c>
      <c r="J7" s="323">
        <f t="shared" si="3"/>
        <v>4</v>
      </c>
      <c r="K7" s="323">
        <f t="shared" si="3"/>
        <v>4</v>
      </c>
      <c r="L7" s="323">
        <f t="shared" si="3"/>
        <v>4</v>
      </c>
      <c r="M7" s="323">
        <f t="shared" si="3"/>
        <v>4</v>
      </c>
      <c r="N7" s="323">
        <f t="shared" si="3"/>
        <v>4</v>
      </c>
    </row>
    <row r="8" spans="1:14" ht="54" x14ac:dyDescent="0.25">
      <c r="A8" s="94" t="s">
        <v>555</v>
      </c>
      <c r="B8" s="101" t="s">
        <v>19</v>
      </c>
      <c r="C8" s="8" t="s">
        <v>247</v>
      </c>
      <c r="D8" s="95">
        <f>'Исходные данные'!D16</f>
        <v>2</v>
      </c>
      <c r="E8" s="323">
        <v>2</v>
      </c>
      <c r="F8" s="323">
        <v>0</v>
      </c>
      <c r="G8" s="323">
        <v>0</v>
      </c>
      <c r="H8" s="323">
        <v>0</v>
      </c>
      <c r="I8" s="323">
        <v>0</v>
      </c>
      <c r="J8" s="323">
        <v>0</v>
      </c>
      <c r="K8" s="323">
        <v>0</v>
      </c>
      <c r="L8" s="323">
        <v>0</v>
      </c>
      <c r="M8" s="323">
        <v>0</v>
      </c>
      <c r="N8" s="323">
        <v>0</v>
      </c>
    </row>
    <row r="9" spans="1:14" ht="54" x14ac:dyDescent="0.3">
      <c r="A9" s="97" t="s">
        <v>556</v>
      </c>
      <c r="B9" s="101" t="s">
        <v>19</v>
      </c>
      <c r="C9" s="8" t="s">
        <v>247</v>
      </c>
      <c r="D9" s="95" t="s">
        <v>68</v>
      </c>
      <c r="E9" s="323">
        <f>E8</f>
        <v>2</v>
      </c>
      <c r="F9" s="323">
        <f>E9+F8</f>
        <v>2</v>
      </c>
      <c r="G9" s="323">
        <f t="shared" ref="G9:N9" si="4">F9+G8</f>
        <v>2</v>
      </c>
      <c r="H9" s="323">
        <f t="shared" si="4"/>
        <v>2</v>
      </c>
      <c r="I9" s="323">
        <f t="shared" si="4"/>
        <v>2</v>
      </c>
      <c r="J9" s="323">
        <f t="shared" si="4"/>
        <v>2</v>
      </c>
      <c r="K9" s="323">
        <f t="shared" si="4"/>
        <v>2</v>
      </c>
      <c r="L9" s="323">
        <f t="shared" si="4"/>
        <v>2</v>
      </c>
      <c r="M9" s="323">
        <f t="shared" si="4"/>
        <v>2</v>
      </c>
      <c r="N9" s="323">
        <f t="shared" si="4"/>
        <v>2</v>
      </c>
    </row>
    <row r="10" spans="1:14" ht="54" x14ac:dyDescent="0.25">
      <c r="A10" s="94" t="s">
        <v>557</v>
      </c>
      <c r="B10" s="101" t="s">
        <v>19</v>
      </c>
      <c r="C10" s="8" t="s">
        <v>248</v>
      </c>
      <c r="D10" s="95">
        <f>'Исходные данные'!D20</f>
        <v>0.32</v>
      </c>
      <c r="E10" s="323">
        <f>D10</f>
        <v>0.32</v>
      </c>
      <c r="F10" s="323">
        <v>0</v>
      </c>
      <c r="G10" s="323">
        <v>0</v>
      </c>
      <c r="H10" s="323">
        <v>0</v>
      </c>
      <c r="I10" s="323">
        <v>0</v>
      </c>
      <c r="J10" s="323">
        <v>0</v>
      </c>
      <c r="K10" s="323">
        <v>0</v>
      </c>
      <c r="L10" s="323">
        <v>0</v>
      </c>
      <c r="M10" s="323">
        <v>0</v>
      </c>
      <c r="N10" s="323">
        <v>0</v>
      </c>
    </row>
    <row r="11" spans="1:14" ht="54" x14ac:dyDescent="0.3">
      <c r="A11" s="97" t="s">
        <v>558</v>
      </c>
      <c r="B11" s="101" t="s">
        <v>19</v>
      </c>
      <c r="C11" s="8" t="s">
        <v>248</v>
      </c>
      <c r="D11" s="95"/>
      <c r="E11" s="323">
        <f>E10</f>
        <v>0.32</v>
      </c>
      <c r="F11" s="323">
        <f>E11+F10</f>
        <v>0.32</v>
      </c>
      <c r="G11" s="323">
        <f>F11+G10</f>
        <v>0.32</v>
      </c>
      <c r="H11" s="323">
        <f t="shared" ref="H11:N11" si="5">G11+H10</f>
        <v>0.32</v>
      </c>
      <c r="I11" s="323">
        <f t="shared" si="5"/>
        <v>0.32</v>
      </c>
      <c r="J11" s="323">
        <f t="shared" si="5"/>
        <v>0.32</v>
      </c>
      <c r="K11" s="323">
        <f t="shared" si="5"/>
        <v>0.32</v>
      </c>
      <c r="L11" s="323">
        <f t="shared" si="5"/>
        <v>0.32</v>
      </c>
      <c r="M11" s="323">
        <f t="shared" si="5"/>
        <v>0.32</v>
      </c>
      <c r="N11" s="323">
        <f t="shared" si="5"/>
        <v>0.32</v>
      </c>
    </row>
    <row r="12" spans="1:14" ht="54" x14ac:dyDescent="0.25">
      <c r="A12" s="94" t="s">
        <v>246</v>
      </c>
      <c r="B12" s="101" t="s">
        <v>19</v>
      </c>
      <c r="C12" s="8" t="s">
        <v>248</v>
      </c>
      <c r="D12" s="95">
        <f>'Исходные данные'!D24</f>
        <v>0</v>
      </c>
      <c r="E12" s="323">
        <v>0</v>
      </c>
      <c r="F12" s="323">
        <v>0</v>
      </c>
      <c r="G12" s="323">
        <v>0</v>
      </c>
      <c r="H12" s="323">
        <v>0</v>
      </c>
      <c r="I12" s="323">
        <v>0</v>
      </c>
      <c r="J12" s="323">
        <v>0</v>
      </c>
      <c r="K12" s="323">
        <v>0</v>
      </c>
      <c r="L12" s="323">
        <v>0</v>
      </c>
      <c r="M12" s="323">
        <v>0</v>
      </c>
      <c r="N12" s="323">
        <v>0</v>
      </c>
    </row>
    <row r="13" spans="1:14" ht="54" x14ac:dyDescent="0.2">
      <c r="A13" s="171" t="s">
        <v>250</v>
      </c>
      <c r="B13" s="101" t="s">
        <v>19</v>
      </c>
      <c r="C13" s="8" t="s">
        <v>248</v>
      </c>
      <c r="D13" s="95" t="s">
        <v>68</v>
      </c>
      <c r="E13" s="95">
        <f>E12</f>
        <v>0</v>
      </c>
      <c r="F13" s="95">
        <f>E13+F12</f>
        <v>0</v>
      </c>
      <c r="G13" s="95">
        <f t="shared" ref="G13:N13" si="6">F13+G12</f>
        <v>0</v>
      </c>
      <c r="H13" s="95">
        <f t="shared" si="6"/>
        <v>0</v>
      </c>
      <c r="I13" s="95">
        <f t="shared" si="6"/>
        <v>0</v>
      </c>
      <c r="J13" s="95">
        <f t="shared" si="6"/>
        <v>0</v>
      </c>
      <c r="K13" s="95">
        <f t="shared" si="6"/>
        <v>0</v>
      </c>
      <c r="L13" s="95">
        <f t="shared" si="6"/>
        <v>0</v>
      </c>
      <c r="M13" s="95">
        <f t="shared" si="6"/>
        <v>0</v>
      </c>
      <c r="N13" s="95">
        <f t="shared" si="6"/>
        <v>0</v>
      </c>
    </row>
    <row r="14" spans="1:14" x14ac:dyDescent="0.25">
      <c r="A14" s="100" t="s">
        <v>385</v>
      </c>
      <c r="B14" s="404"/>
      <c r="C14" s="405"/>
      <c r="D14" s="413"/>
      <c r="E14" s="413"/>
      <c r="F14" s="413"/>
      <c r="G14" s="413"/>
      <c r="H14" s="413"/>
      <c r="I14" s="413"/>
      <c r="J14" s="413"/>
      <c r="K14" s="413"/>
      <c r="L14" s="413"/>
      <c r="M14" s="413"/>
      <c r="N14" s="413"/>
    </row>
    <row r="15" spans="1:14" ht="75" customHeight="1" x14ac:dyDescent="0.2">
      <c r="A15" s="104" t="s">
        <v>610</v>
      </c>
      <c r="B15" s="104" t="s">
        <v>507</v>
      </c>
      <c r="C15" s="330" t="s">
        <v>21</v>
      </c>
      <c r="D15" s="99">
        <v>1</v>
      </c>
      <c r="E15" s="2"/>
      <c r="F15" s="95"/>
      <c r="G15" s="95"/>
      <c r="H15" s="95"/>
      <c r="I15" s="95"/>
      <c r="J15" s="95"/>
      <c r="K15" s="95"/>
      <c r="L15" s="95"/>
      <c r="M15" s="95"/>
      <c r="N15" s="95"/>
    </row>
    <row r="16" spans="1:14" ht="108" x14ac:dyDescent="0.2">
      <c r="A16" s="104" t="s">
        <v>254</v>
      </c>
      <c r="B16" s="104" t="s">
        <v>507</v>
      </c>
      <c r="C16" s="330" t="s">
        <v>21</v>
      </c>
      <c r="D16" s="99">
        <v>2</v>
      </c>
      <c r="E16" s="95"/>
      <c r="F16" s="95"/>
      <c r="G16" s="95"/>
      <c r="H16" s="95"/>
      <c r="I16" s="95"/>
      <c r="J16" s="95"/>
      <c r="K16" s="95"/>
      <c r="L16" s="95"/>
      <c r="M16" s="95"/>
      <c r="N16" s="95"/>
    </row>
    <row r="17" spans="1:14" ht="57" customHeight="1" x14ac:dyDescent="0.2">
      <c r="A17" s="104" t="s">
        <v>261</v>
      </c>
      <c r="B17" s="104" t="s">
        <v>507</v>
      </c>
      <c r="C17" s="330" t="s">
        <v>262</v>
      </c>
      <c r="D17" s="99">
        <v>6</v>
      </c>
      <c r="E17" s="95"/>
      <c r="F17" s="95"/>
      <c r="G17" s="349"/>
      <c r="H17" s="95"/>
      <c r="I17" s="95"/>
      <c r="J17" s="95"/>
      <c r="K17" s="95"/>
      <c r="L17" s="95"/>
      <c r="M17" s="95"/>
      <c r="N17" s="95"/>
    </row>
    <row r="18" spans="1:14" ht="54" x14ac:dyDescent="0.2">
      <c r="A18" s="98" t="s">
        <v>252</v>
      </c>
      <c r="B18" s="102" t="s">
        <v>253</v>
      </c>
      <c r="C18" s="8" t="s">
        <v>247</v>
      </c>
      <c r="D18" s="324">
        <f>IF('Базовые параметры'!D5&lt;5,'Градостроительная модель'!D28/1000-'Исходные данные'!D17,IF('Базовые параметры'!D5&lt;10,'Градостроительная модель'!E28/1000-'Исходные данные'!D17,'Градостроительная модель'!F28/1000-'Исходные данные'!D17))</f>
        <v>73.44</v>
      </c>
      <c r="E18" s="324">
        <f>IF(($E$1+$D$15+$D$16)&gt;E$1,0,IF(E19&lt;$D$18,$D$18/$D$17,0))</f>
        <v>0</v>
      </c>
      <c r="F18" s="324">
        <f>IF(($E$1+$D$15+$D$16)&gt;F$1,0,IF(F19&lt;$D$18,$D$18/$D$17,0))</f>
        <v>0</v>
      </c>
      <c r="G18" s="324">
        <f>IF(($E$1+$D$15+$D$16)&gt;G$1,0,IF(G19&lt;$D$18,$D$18/$D$17,0))</f>
        <v>0</v>
      </c>
      <c r="H18" s="324">
        <f t="shared" ref="H18:N18" si="7">IF(($E$1+$D$15+$D$16)&gt;H$1,0,IF(G19&lt;$D$18,$D$18/$D$17,0))</f>
        <v>12.24</v>
      </c>
      <c r="I18" s="324">
        <f t="shared" si="7"/>
        <v>12.24</v>
      </c>
      <c r="J18" s="324">
        <f t="shared" si="7"/>
        <v>12.24</v>
      </c>
      <c r="K18" s="324">
        <f t="shared" si="7"/>
        <v>12.24</v>
      </c>
      <c r="L18" s="324">
        <f t="shared" si="7"/>
        <v>12.24</v>
      </c>
      <c r="M18" s="324">
        <f t="shared" si="7"/>
        <v>12.24</v>
      </c>
      <c r="N18" s="324">
        <f t="shared" si="7"/>
        <v>0</v>
      </c>
    </row>
    <row r="19" spans="1:14" ht="54" x14ac:dyDescent="0.2">
      <c r="A19" s="103" t="s">
        <v>259</v>
      </c>
      <c r="B19" s="102" t="s">
        <v>253</v>
      </c>
      <c r="C19" s="8" t="s">
        <v>247</v>
      </c>
      <c r="D19" s="324" t="s">
        <v>68</v>
      </c>
      <c r="E19" s="324">
        <v>0</v>
      </c>
      <c r="F19" s="324">
        <f>E19+F18</f>
        <v>0</v>
      </c>
      <c r="G19" s="324">
        <f t="shared" ref="G19:N19" si="8">F19+G18</f>
        <v>0</v>
      </c>
      <c r="H19" s="324">
        <f t="shared" si="8"/>
        <v>12.24</v>
      </c>
      <c r="I19" s="324">
        <f t="shared" si="8"/>
        <v>24.48</v>
      </c>
      <c r="J19" s="324">
        <f t="shared" si="8"/>
        <v>36.72</v>
      </c>
      <c r="K19" s="324">
        <f t="shared" si="8"/>
        <v>48.96</v>
      </c>
      <c r="L19" s="324">
        <f t="shared" si="8"/>
        <v>61.2</v>
      </c>
      <c r="M19" s="324">
        <f t="shared" si="8"/>
        <v>73.44</v>
      </c>
      <c r="N19" s="324">
        <f t="shared" si="8"/>
        <v>73.44</v>
      </c>
    </row>
    <row r="20" spans="1:14" ht="54" x14ac:dyDescent="0.2">
      <c r="A20" s="98" t="s">
        <v>560</v>
      </c>
      <c r="B20" s="102" t="s">
        <v>253</v>
      </c>
      <c r="C20" s="8" t="s">
        <v>248</v>
      </c>
      <c r="D20" s="324">
        <f>IF('Базовые параметры'!D5&lt;5,'Градостроительная модель'!D29/1000-'Исходные данные'!D23,IF('Базовые параметры'!D5&lt;10,'Градостроительная модель'!E29/1000-'Исходные данные'!D23,'Градостроительная модель'!F29/1000-'Исходные данные'!D23))</f>
        <v>12.96</v>
      </c>
      <c r="E20" s="324">
        <f t="shared" ref="E20:N20" si="9">$D$20/$D$18*E18</f>
        <v>0</v>
      </c>
      <c r="F20" s="324">
        <f>$D$20/$D$18*F18</f>
        <v>0</v>
      </c>
      <c r="G20" s="324">
        <f t="shared" si="9"/>
        <v>0</v>
      </c>
      <c r="H20" s="324">
        <f t="shared" si="9"/>
        <v>2.16</v>
      </c>
      <c r="I20" s="324">
        <f t="shared" si="9"/>
        <v>2.16</v>
      </c>
      <c r="J20" s="324">
        <f t="shared" si="9"/>
        <v>2.16</v>
      </c>
      <c r="K20" s="324">
        <f t="shared" si="9"/>
        <v>2.16</v>
      </c>
      <c r="L20" s="324">
        <f t="shared" si="9"/>
        <v>2.16</v>
      </c>
      <c r="M20" s="324">
        <f t="shared" si="9"/>
        <v>2.16</v>
      </c>
      <c r="N20" s="324">
        <f t="shared" si="9"/>
        <v>0</v>
      </c>
    </row>
    <row r="21" spans="1:14" ht="54" x14ac:dyDescent="0.2">
      <c r="A21" s="103" t="s">
        <v>561</v>
      </c>
      <c r="B21" s="102" t="s">
        <v>253</v>
      </c>
      <c r="C21" s="8" t="s">
        <v>248</v>
      </c>
      <c r="D21" s="324" t="s">
        <v>68</v>
      </c>
      <c r="E21" s="324">
        <f>E20</f>
        <v>0</v>
      </c>
      <c r="F21" s="324">
        <f>E21+F20</f>
        <v>0</v>
      </c>
      <c r="G21" s="324">
        <f t="shared" ref="G21" si="10">F21+G20</f>
        <v>0</v>
      </c>
      <c r="H21" s="324">
        <f t="shared" ref="H21" si="11">G21+H20</f>
        <v>2.16</v>
      </c>
      <c r="I21" s="324">
        <f t="shared" ref="I21" si="12">H21+I20</f>
        <v>4.32</v>
      </c>
      <c r="J21" s="324">
        <f t="shared" ref="J21" si="13">I21+J20</f>
        <v>6.48</v>
      </c>
      <c r="K21" s="324">
        <f t="shared" ref="K21" si="14">J21+K20</f>
        <v>8.64</v>
      </c>
      <c r="L21" s="324">
        <f t="shared" ref="L21" si="15">K21+L20</f>
        <v>10.8</v>
      </c>
      <c r="M21" s="324">
        <f t="shared" ref="M21" si="16">L21+M20</f>
        <v>12.96</v>
      </c>
      <c r="N21" s="324">
        <f t="shared" ref="N21" si="17">M21+N20</f>
        <v>12.96</v>
      </c>
    </row>
    <row r="22" spans="1:14" ht="54" x14ac:dyDescent="0.2">
      <c r="A22" s="98" t="s">
        <v>246</v>
      </c>
      <c r="B22" s="102" t="s">
        <v>253</v>
      </c>
      <c r="C22" s="8" t="s">
        <v>248</v>
      </c>
      <c r="D22" s="324">
        <f>IF('Базовые параметры'!D5&lt;5,'Градостроительная модель'!D33/1000-'Исходные данные'!D25,IF('Базовые параметры'!D5&lt;10,'Градостроительная модель'!E33/1000-'Исходные данные'!D25,'Градостроительная модель'!F33/1000-'Исходные данные'!D25))</f>
        <v>9</v>
      </c>
      <c r="E22" s="324">
        <v>0</v>
      </c>
      <c r="F22" s="324">
        <v>0</v>
      </c>
      <c r="G22" s="324">
        <v>0</v>
      </c>
      <c r="H22" s="324">
        <v>0</v>
      </c>
      <c r="I22" s="324">
        <v>0</v>
      </c>
      <c r="J22" s="324">
        <v>0</v>
      </c>
      <c r="K22" s="324">
        <v>0</v>
      </c>
      <c r="L22" s="324">
        <v>0</v>
      </c>
      <c r="M22" s="324">
        <v>0</v>
      </c>
      <c r="N22" s="324">
        <f>D22</f>
        <v>9</v>
      </c>
    </row>
    <row r="23" spans="1:14" ht="54" x14ac:dyDescent="0.2">
      <c r="A23" s="103" t="s">
        <v>260</v>
      </c>
      <c r="B23" s="102" t="s">
        <v>253</v>
      </c>
      <c r="C23" s="8" t="s">
        <v>248</v>
      </c>
      <c r="D23" s="324" t="s">
        <v>68</v>
      </c>
      <c r="E23" s="324">
        <f>E22</f>
        <v>0</v>
      </c>
      <c r="F23" s="324">
        <f>E23+F22</f>
        <v>0</v>
      </c>
      <c r="G23" s="324">
        <f t="shared" ref="G23:N23" si="18">F23+G22</f>
        <v>0</v>
      </c>
      <c r="H23" s="324">
        <f t="shared" si="18"/>
        <v>0</v>
      </c>
      <c r="I23" s="324">
        <f t="shared" si="18"/>
        <v>0</v>
      </c>
      <c r="J23" s="324">
        <f t="shared" si="18"/>
        <v>0</v>
      </c>
      <c r="K23" s="324">
        <f t="shared" si="18"/>
        <v>0</v>
      </c>
      <c r="L23" s="324">
        <f t="shared" si="18"/>
        <v>0</v>
      </c>
      <c r="M23" s="324">
        <f t="shared" si="18"/>
        <v>0</v>
      </c>
      <c r="N23" s="324">
        <f t="shared" si="18"/>
        <v>9</v>
      </c>
    </row>
    <row r="24" spans="1:14" ht="54" x14ac:dyDescent="0.2">
      <c r="A24" s="98" t="s">
        <v>498</v>
      </c>
      <c r="B24" s="102" t="s">
        <v>253</v>
      </c>
      <c r="C24" s="8" t="s">
        <v>248</v>
      </c>
      <c r="D24" s="324">
        <f>SUM(D25:D27)</f>
        <v>1.1995199999999999</v>
      </c>
      <c r="E24" s="324">
        <f t="shared" ref="E24:N24" si="19">SUM(E25:E27)</f>
        <v>0</v>
      </c>
      <c r="F24" s="324">
        <f t="shared" si="19"/>
        <v>0</v>
      </c>
      <c r="G24" s="324">
        <f t="shared" si="19"/>
        <v>0</v>
      </c>
      <c r="H24" s="324">
        <f t="shared" si="19"/>
        <v>0.19991999999999999</v>
      </c>
      <c r="I24" s="324">
        <f t="shared" si="19"/>
        <v>0.19991999999999999</v>
      </c>
      <c r="J24" s="324">
        <f t="shared" si="19"/>
        <v>0.19991999999999999</v>
      </c>
      <c r="K24" s="324">
        <f t="shared" si="19"/>
        <v>0.19991999999999999</v>
      </c>
      <c r="L24" s="324">
        <f t="shared" si="19"/>
        <v>0.19991999999999999</v>
      </c>
      <c r="M24" s="324">
        <f t="shared" si="19"/>
        <v>0.19991999999999999</v>
      </c>
      <c r="N24" s="324">
        <f t="shared" si="19"/>
        <v>0</v>
      </c>
    </row>
    <row r="25" spans="1:14" ht="54" x14ac:dyDescent="0.25">
      <c r="A25" s="94" t="s">
        <v>255</v>
      </c>
      <c r="B25" s="102" t="s">
        <v>253</v>
      </c>
      <c r="C25" s="8" t="s">
        <v>248</v>
      </c>
      <c r="D25" s="324">
        <f>IF('Базовые параметры'!D5&lt;5,'Градостроительная модель'!D35/1000-'Исходные данные'!D27,IF('Базовые параметры'!D5&lt;10,'Градостроительная модель'!E35/1000-'Исходные данные'!D27,'Градостроительная модель'!F35/1000-'Исходные данные'!D27))</f>
        <v>0</v>
      </c>
      <c r="E25" s="324">
        <f>$D$25*E18/$D$18</f>
        <v>0</v>
      </c>
      <c r="F25" s="324">
        <f t="shared" ref="F25:N25" si="20">$D$25*F18/$D$18</f>
        <v>0</v>
      </c>
      <c r="G25" s="324">
        <f t="shared" si="20"/>
        <v>0</v>
      </c>
      <c r="H25" s="324">
        <f t="shared" si="20"/>
        <v>0</v>
      </c>
      <c r="I25" s="324">
        <f t="shared" si="20"/>
        <v>0</v>
      </c>
      <c r="J25" s="324">
        <f t="shared" si="20"/>
        <v>0</v>
      </c>
      <c r="K25" s="324">
        <f t="shared" si="20"/>
        <v>0</v>
      </c>
      <c r="L25" s="324">
        <f t="shared" si="20"/>
        <v>0</v>
      </c>
      <c r="M25" s="324">
        <f t="shared" si="20"/>
        <v>0</v>
      </c>
      <c r="N25" s="324">
        <f t="shared" si="20"/>
        <v>0</v>
      </c>
    </row>
    <row r="26" spans="1:14" ht="54" x14ac:dyDescent="0.25">
      <c r="A26" s="94" t="s">
        <v>256</v>
      </c>
      <c r="B26" s="102" t="s">
        <v>253</v>
      </c>
      <c r="C26" s="8" t="s">
        <v>248</v>
      </c>
      <c r="D26" s="324">
        <f>IF('Базовые параметры'!D5&lt;5,'Градостроительная модель'!D36/1000-'Исходные данные'!D28,IF('Базовые параметры'!D5&lt;10,'Градостроительная модель'!E36/1000-'Исходные данные'!D28,'Градостроительная модель'!F36/1000-'Исходные данные'!D28))</f>
        <v>1.1995199999999999</v>
      </c>
      <c r="E26" s="324">
        <f>$D$26*E18/$D$18</f>
        <v>0</v>
      </c>
      <c r="F26" s="324">
        <f t="shared" ref="F26:N26" si="21">$D$26*F18/$D$18</f>
        <v>0</v>
      </c>
      <c r="G26" s="324">
        <f t="shared" si="21"/>
        <v>0</v>
      </c>
      <c r="H26" s="324">
        <f t="shared" si="21"/>
        <v>0.19991999999999999</v>
      </c>
      <c r="I26" s="324">
        <f t="shared" si="21"/>
        <v>0.19991999999999999</v>
      </c>
      <c r="J26" s="324">
        <f t="shared" si="21"/>
        <v>0.19991999999999999</v>
      </c>
      <c r="K26" s="324">
        <f t="shared" si="21"/>
        <v>0.19991999999999999</v>
      </c>
      <c r="L26" s="324">
        <f t="shared" si="21"/>
        <v>0.19991999999999999</v>
      </c>
      <c r="M26" s="324">
        <f t="shared" si="21"/>
        <v>0.19991999999999999</v>
      </c>
      <c r="N26" s="324">
        <f t="shared" si="21"/>
        <v>0</v>
      </c>
    </row>
    <row r="27" spans="1:14" ht="54" x14ac:dyDescent="0.25">
      <c r="A27" s="94" t="s">
        <v>257</v>
      </c>
      <c r="B27" s="3" t="s">
        <v>253</v>
      </c>
      <c r="C27" s="8" t="s">
        <v>248</v>
      </c>
      <c r="D27" s="324">
        <f>IF('Базовые параметры'!D5&lt;5,'Градостроительная модель'!D37/1000-'Исходные данные'!D29,IF('Базовые параметры'!D5&lt;10,'Градостроительная модель'!E37/1000-'Исходные данные'!D29,'Градостроительная модель'!F37/1000-'Исходные данные'!D29))</f>
        <v>0</v>
      </c>
      <c r="E27" s="324">
        <f>$D$27*E18/$D$18</f>
        <v>0</v>
      </c>
      <c r="F27" s="324">
        <f t="shared" ref="F27:N27" si="22">$D$27*F18/$D$18</f>
        <v>0</v>
      </c>
      <c r="G27" s="324">
        <f t="shared" si="22"/>
        <v>0</v>
      </c>
      <c r="H27" s="324">
        <f t="shared" si="22"/>
        <v>0</v>
      </c>
      <c r="I27" s="324">
        <f t="shared" si="22"/>
        <v>0</v>
      </c>
      <c r="J27" s="324">
        <f t="shared" si="22"/>
        <v>0</v>
      </c>
      <c r="K27" s="324">
        <f t="shared" si="22"/>
        <v>0</v>
      </c>
      <c r="L27" s="324">
        <f t="shared" si="22"/>
        <v>0</v>
      </c>
      <c r="M27" s="324">
        <f t="shared" si="22"/>
        <v>0</v>
      </c>
      <c r="N27" s="324">
        <f t="shared" si="22"/>
        <v>0</v>
      </c>
    </row>
    <row r="28" spans="1:14" x14ac:dyDescent="0.25">
      <c r="A28" s="93" t="s">
        <v>182</v>
      </c>
      <c r="B28" s="3" t="s">
        <v>253</v>
      </c>
      <c r="C28" s="6" t="s">
        <v>30</v>
      </c>
      <c r="D28" s="324">
        <f>'Градостроительная модель'!E48</f>
        <v>1177.2</v>
      </c>
      <c r="E28" s="324">
        <f>$D$28*E18/$D$18</f>
        <v>0</v>
      </c>
      <c r="F28" s="324">
        <f t="shared" ref="F28:N28" si="23">$D$28*F18/$D$18</f>
        <v>0</v>
      </c>
      <c r="G28" s="324">
        <f t="shared" si="23"/>
        <v>0</v>
      </c>
      <c r="H28" s="324">
        <f t="shared" si="23"/>
        <v>196.20000000000002</v>
      </c>
      <c r="I28" s="324">
        <f t="shared" si="23"/>
        <v>196.20000000000002</v>
      </c>
      <c r="J28" s="324">
        <f t="shared" si="23"/>
        <v>196.20000000000002</v>
      </c>
      <c r="K28" s="324">
        <f>$D$28*K18/$D$18</f>
        <v>196.20000000000002</v>
      </c>
      <c r="L28" s="324">
        <f t="shared" si="23"/>
        <v>196.20000000000002</v>
      </c>
      <c r="M28" s="324">
        <f t="shared" si="23"/>
        <v>196.20000000000002</v>
      </c>
      <c r="N28" s="324">
        <f t="shared" si="23"/>
        <v>0</v>
      </c>
    </row>
    <row r="29" spans="1:14" ht="18.75" x14ac:dyDescent="0.3">
      <c r="A29" s="154" t="s">
        <v>386</v>
      </c>
      <c r="B29" s="3" t="s">
        <v>253</v>
      </c>
      <c r="C29" s="6" t="s">
        <v>30</v>
      </c>
      <c r="D29" s="324" t="s">
        <v>68</v>
      </c>
      <c r="E29" s="324">
        <f>E28</f>
        <v>0</v>
      </c>
      <c r="F29" s="324">
        <f>E29+F28</f>
        <v>0</v>
      </c>
      <c r="G29" s="324">
        <f t="shared" ref="G29:N29" si="24">F29+G28</f>
        <v>0</v>
      </c>
      <c r="H29" s="324">
        <f t="shared" si="24"/>
        <v>196.20000000000002</v>
      </c>
      <c r="I29" s="324">
        <f t="shared" si="24"/>
        <v>392.40000000000003</v>
      </c>
      <c r="J29" s="324">
        <f t="shared" si="24"/>
        <v>588.6</v>
      </c>
      <c r="K29" s="324">
        <f t="shared" si="24"/>
        <v>784.80000000000007</v>
      </c>
      <c r="L29" s="324">
        <f t="shared" si="24"/>
        <v>981.00000000000011</v>
      </c>
      <c r="M29" s="324">
        <f t="shared" si="24"/>
        <v>1177.2</v>
      </c>
      <c r="N29" s="324">
        <f t="shared" si="24"/>
        <v>1177.2</v>
      </c>
    </row>
    <row r="30" spans="1:14" ht="20.25" x14ac:dyDescent="0.3">
      <c r="A30" s="396" t="s">
        <v>8</v>
      </c>
      <c r="B30" s="401"/>
      <c r="C30" s="402"/>
      <c r="D30" s="402"/>
      <c r="E30" s="403"/>
      <c r="F30" s="401"/>
      <c r="G30" s="401"/>
      <c r="H30" s="401"/>
      <c r="I30" s="401"/>
      <c r="J30" s="401"/>
      <c r="K30" s="401"/>
      <c r="L30" s="401"/>
      <c r="M30" s="401"/>
      <c r="N30" s="401"/>
    </row>
    <row r="31" spans="1:14" x14ac:dyDescent="0.25">
      <c r="A31" s="13" t="s">
        <v>269</v>
      </c>
      <c r="B31" s="404"/>
      <c r="C31" s="405"/>
      <c r="D31" s="406"/>
      <c r="E31" s="407"/>
      <c r="F31" s="408"/>
      <c r="G31" s="408"/>
      <c r="H31" s="408"/>
      <c r="I31" s="408"/>
      <c r="J31" s="408"/>
      <c r="K31" s="408"/>
      <c r="L31" s="408"/>
      <c r="M31" s="408"/>
      <c r="N31" s="408"/>
    </row>
    <row r="32" spans="1:14" x14ac:dyDescent="0.25">
      <c r="A32" s="25" t="s">
        <v>25</v>
      </c>
      <c r="B32" s="3" t="s">
        <v>0</v>
      </c>
      <c r="C32" s="185" t="s">
        <v>28</v>
      </c>
      <c r="D32" s="191">
        <v>1</v>
      </c>
      <c r="E32" s="192">
        <f>('Исходные данные'!D91+1)</f>
        <v>1.04</v>
      </c>
      <c r="F32" s="192">
        <f>E32</f>
        <v>1.04</v>
      </c>
      <c r="G32" s="192">
        <f t="shared" ref="G32:N32" si="25">F32</f>
        <v>1.04</v>
      </c>
      <c r="H32" s="192">
        <f t="shared" si="25"/>
        <v>1.04</v>
      </c>
      <c r="I32" s="192">
        <f t="shared" si="25"/>
        <v>1.04</v>
      </c>
      <c r="J32" s="192">
        <f t="shared" si="25"/>
        <v>1.04</v>
      </c>
      <c r="K32" s="192">
        <f t="shared" si="25"/>
        <v>1.04</v>
      </c>
      <c r="L32" s="192">
        <f t="shared" si="25"/>
        <v>1.04</v>
      </c>
      <c r="M32" s="192">
        <f t="shared" si="25"/>
        <v>1.04</v>
      </c>
      <c r="N32" s="193">
        <f t="shared" si="25"/>
        <v>1.04</v>
      </c>
    </row>
    <row r="33" spans="1:14" x14ac:dyDescent="0.25">
      <c r="A33" s="26" t="s">
        <v>26</v>
      </c>
      <c r="B33" s="3" t="s">
        <v>253</v>
      </c>
      <c r="C33" s="185" t="s">
        <v>28</v>
      </c>
      <c r="D33" s="195">
        <f>1</f>
        <v>1</v>
      </c>
      <c r="E33" s="195">
        <f>E32*D33</f>
        <v>1.04</v>
      </c>
      <c r="F33" s="196">
        <f>F32*E33</f>
        <v>1.0816000000000001</v>
      </c>
      <c r="G33" s="196">
        <f t="shared" ref="G33:N33" si="26">G32*F33</f>
        <v>1.1248640000000001</v>
      </c>
      <c r="H33" s="196">
        <f t="shared" si="26"/>
        <v>1.1698585600000002</v>
      </c>
      <c r="I33" s="196">
        <f t="shared" si="26"/>
        <v>1.2166529024000003</v>
      </c>
      <c r="J33" s="196">
        <f t="shared" si="26"/>
        <v>1.2653190184960004</v>
      </c>
      <c r="K33" s="196">
        <f t="shared" si="26"/>
        <v>1.3159317792358405</v>
      </c>
      <c r="L33" s="196">
        <f t="shared" si="26"/>
        <v>1.3685690504052741</v>
      </c>
      <c r="M33" s="196">
        <f t="shared" si="26"/>
        <v>1.4233118124214852</v>
      </c>
      <c r="N33" s="196">
        <f t="shared" si="26"/>
        <v>1.4802442849183446</v>
      </c>
    </row>
    <row r="34" spans="1:14" x14ac:dyDescent="0.25">
      <c r="A34" s="26" t="s">
        <v>437</v>
      </c>
      <c r="B34" s="3" t="s">
        <v>0</v>
      </c>
      <c r="C34" s="185" t="s">
        <v>28</v>
      </c>
      <c r="D34" s="195">
        <v>1</v>
      </c>
      <c r="E34" s="196">
        <f>('Исходные данные'!D92+1)</f>
        <v>1</v>
      </c>
      <c r="F34" s="196">
        <f>E34</f>
        <v>1</v>
      </c>
      <c r="G34" s="196">
        <f t="shared" ref="G34:N34" si="27">F34</f>
        <v>1</v>
      </c>
      <c r="H34" s="196">
        <f t="shared" si="27"/>
        <v>1</v>
      </c>
      <c r="I34" s="196">
        <f t="shared" si="27"/>
        <v>1</v>
      </c>
      <c r="J34" s="196">
        <f t="shared" si="27"/>
        <v>1</v>
      </c>
      <c r="K34" s="196">
        <f t="shared" si="27"/>
        <v>1</v>
      </c>
      <c r="L34" s="196">
        <f t="shared" si="27"/>
        <v>1</v>
      </c>
      <c r="M34" s="196">
        <f t="shared" si="27"/>
        <v>1</v>
      </c>
      <c r="N34" s="196">
        <f t="shared" si="27"/>
        <v>1</v>
      </c>
    </row>
    <row r="35" spans="1:14" x14ac:dyDescent="0.25">
      <c r="A35" s="26" t="s">
        <v>438</v>
      </c>
      <c r="B35" s="3" t="s">
        <v>253</v>
      </c>
      <c r="C35" s="185" t="s">
        <v>28</v>
      </c>
      <c r="D35" s="195">
        <v>1</v>
      </c>
      <c r="E35" s="195">
        <f>E34*D35</f>
        <v>1</v>
      </c>
      <c r="F35" s="195">
        <f t="shared" ref="F35:N35" si="28">F34*E35</f>
        <v>1</v>
      </c>
      <c r="G35" s="195">
        <f t="shared" si="28"/>
        <v>1</v>
      </c>
      <c r="H35" s="195">
        <f t="shared" si="28"/>
        <v>1</v>
      </c>
      <c r="I35" s="195">
        <f t="shared" si="28"/>
        <v>1</v>
      </c>
      <c r="J35" s="195">
        <f t="shared" si="28"/>
        <v>1</v>
      </c>
      <c r="K35" s="195">
        <f t="shared" si="28"/>
        <v>1</v>
      </c>
      <c r="L35" s="195">
        <f t="shared" si="28"/>
        <v>1</v>
      </c>
      <c r="M35" s="195">
        <f t="shared" si="28"/>
        <v>1</v>
      </c>
      <c r="N35" s="195">
        <f t="shared" si="28"/>
        <v>1</v>
      </c>
    </row>
    <row r="36" spans="1:14" x14ac:dyDescent="0.25">
      <c r="A36" s="12" t="s">
        <v>27</v>
      </c>
      <c r="B36" s="40" t="s">
        <v>264</v>
      </c>
      <c r="C36" s="185" t="s">
        <v>28</v>
      </c>
      <c r="D36" s="195">
        <f>$D$32</f>
        <v>1</v>
      </c>
      <c r="E36" s="196">
        <f>E32*E34</f>
        <v>1.04</v>
      </c>
      <c r="F36" s="196">
        <f t="shared" ref="F36:N36" si="29">F32*F34</f>
        <v>1.04</v>
      </c>
      <c r="G36" s="196">
        <f t="shared" si="29"/>
        <v>1.04</v>
      </c>
      <c r="H36" s="196">
        <f t="shared" si="29"/>
        <v>1.04</v>
      </c>
      <c r="I36" s="196">
        <f t="shared" si="29"/>
        <v>1.04</v>
      </c>
      <c r="J36" s="196">
        <f t="shared" si="29"/>
        <v>1.04</v>
      </c>
      <c r="K36" s="196">
        <f t="shared" si="29"/>
        <v>1.04</v>
      </c>
      <c r="L36" s="196">
        <f t="shared" si="29"/>
        <v>1.04</v>
      </c>
      <c r="M36" s="196">
        <f t="shared" si="29"/>
        <v>1.04</v>
      </c>
      <c r="N36" s="196">
        <f t="shared" si="29"/>
        <v>1.04</v>
      </c>
    </row>
    <row r="37" spans="1:14" x14ac:dyDescent="0.25">
      <c r="A37" s="12" t="s">
        <v>265</v>
      </c>
      <c r="B37" s="40" t="s">
        <v>264</v>
      </c>
      <c r="C37" s="185" t="s">
        <v>28</v>
      </c>
      <c r="D37" s="195">
        <v>1</v>
      </c>
      <c r="E37" s="196">
        <f>E32</f>
        <v>1.04</v>
      </c>
      <c r="F37" s="196">
        <f t="shared" ref="F37:N37" si="30">F32</f>
        <v>1.04</v>
      </c>
      <c r="G37" s="196">
        <f t="shared" si="30"/>
        <v>1.04</v>
      </c>
      <c r="H37" s="196">
        <f t="shared" si="30"/>
        <v>1.04</v>
      </c>
      <c r="I37" s="196">
        <f t="shared" si="30"/>
        <v>1.04</v>
      </c>
      <c r="J37" s="196">
        <f t="shared" si="30"/>
        <v>1.04</v>
      </c>
      <c r="K37" s="196">
        <f t="shared" si="30"/>
        <v>1.04</v>
      </c>
      <c r="L37" s="196">
        <f t="shared" si="30"/>
        <v>1.04</v>
      </c>
      <c r="M37" s="196">
        <f t="shared" si="30"/>
        <v>1.04</v>
      </c>
      <c r="N37" s="196">
        <f t="shared" si="30"/>
        <v>1.04</v>
      </c>
    </row>
    <row r="38" spans="1:14" x14ac:dyDescent="0.25">
      <c r="A38" s="26" t="s">
        <v>244</v>
      </c>
      <c r="B38" s="40" t="s">
        <v>264</v>
      </c>
      <c r="C38" s="185" t="s">
        <v>28</v>
      </c>
      <c r="D38" s="195">
        <f>$D$32</f>
        <v>1</v>
      </c>
      <c r="E38" s="196">
        <f>E32</f>
        <v>1.04</v>
      </c>
      <c r="F38" s="196">
        <f t="shared" ref="F38:N38" si="31">F32</f>
        <v>1.04</v>
      </c>
      <c r="G38" s="196">
        <f t="shared" si="31"/>
        <v>1.04</v>
      </c>
      <c r="H38" s="196">
        <f t="shared" si="31"/>
        <v>1.04</v>
      </c>
      <c r="I38" s="196">
        <f t="shared" si="31"/>
        <v>1.04</v>
      </c>
      <c r="J38" s="196">
        <f t="shared" si="31"/>
        <v>1.04</v>
      </c>
      <c r="K38" s="196">
        <f t="shared" si="31"/>
        <v>1.04</v>
      </c>
      <c r="L38" s="196">
        <f t="shared" si="31"/>
        <v>1.04</v>
      </c>
      <c r="M38" s="196">
        <f t="shared" si="31"/>
        <v>1.04</v>
      </c>
      <c r="N38" s="196">
        <f t="shared" si="31"/>
        <v>1.04</v>
      </c>
    </row>
    <row r="39" spans="1:14" x14ac:dyDescent="0.25">
      <c r="A39" s="13" t="s">
        <v>266</v>
      </c>
      <c r="B39" s="404"/>
      <c r="C39" s="409"/>
      <c r="D39" s="410"/>
      <c r="E39" s="411"/>
      <c r="F39" s="412"/>
      <c r="G39" s="412"/>
      <c r="H39" s="412"/>
      <c r="I39" s="412"/>
      <c r="J39" s="412"/>
      <c r="K39" s="412"/>
      <c r="L39" s="412"/>
      <c r="M39" s="412"/>
      <c r="N39" s="412"/>
    </row>
    <row r="40" spans="1:14" s="15" customFormat="1" x14ac:dyDescent="0.25">
      <c r="A40" s="14" t="s">
        <v>267</v>
      </c>
      <c r="B40" s="3" t="s">
        <v>0</v>
      </c>
      <c r="C40" s="186" t="s">
        <v>268</v>
      </c>
      <c r="D40" s="194">
        <f>'Исходные данные'!D74</f>
        <v>50</v>
      </c>
      <c r="E40" s="187">
        <f>D40*E32</f>
        <v>52</v>
      </c>
      <c r="F40" s="187">
        <f t="shared" ref="F40:N40" si="32">E40*F32</f>
        <v>54.08</v>
      </c>
      <c r="G40" s="187">
        <f t="shared" si="32"/>
        <v>56.243200000000002</v>
      </c>
      <c r="H40" s="187">
        <f t="shared" si="32"/>
        <v>58.492928000000006</v>
      </c>
      <c r="I40" s="187">
        <f t="shared" si="32"/>
        <v>60.832645120000009</v>
      </c>
      <c r="J40" s="187">
        <f>I40*J32</f>
        <v>63.265950924800009</v>
      </c>
      <c r="K40" s="187">
        <f t="shared" si="32"/>
        <v>65.796588961792011</v>
      </c>
      <c r="L40" s="187">
        <f t="shared" si="32"/>
        <v>68.42845252026369</v>
      </c>
      <c r="M40" s="187">
        <f t="shared" si="32"/>
        <v>71.165590621074244</v>
      </c>
      <c r="N40" s="187">
        <f t="shared" si="32"/>
        <v>74.012214245917221</v>
      </c>
    </row>
    <row r="41" spans="1:14" x14ac:dyDescent="0.25">
      <c r="A41" s="16" t="s">
        <v>29</v>
      </c>
      <c r="B41" s="3" t="s">
        <v>0</v>
      </c>
      <c r="C41" s="111" t="s">
        <v>9</v>
      </c>
      <c r="D41" s="188">
        <f>'Исходные данные'!D65</f>
        <v>91.2</v>
      </c>
      <c r="E41" s="189">
        <f>D41*E36</f>
        <v>94.848000000000013</v>
      </c>
      <c r="F41" s="189">
        <f>E41*F36</f>
        <v>98.641920000000013</v>
      </c>
      <c r="G41" s="189">
        <f t="shared" ref="G41:N41" si="33">F41*G36</f>
        <v>102.58759680000001</v>
      </c>
      <c r="H41" s="189">
        <f t="shared" si="33"/>
        <v>106.69110067200002</v>
      </c>
      <c r="I41" s="189">
        <f t="shared" si="33"/>
        <v>110.95874469888003</v>
      </c>
      <c r="J41" s="189">
        <f t="shared" si="33"/>
        <v>115.39709448683523</v>
      </c>
      <c r="K41" s="189">
        <f t="shared" si="33"/>
        <v>120.01297826630864</v>
      </c>
      <c r="L41" s="189">
        <f t="shared" si="33"/>
        <v>124.81349739696098</v>
      </c>
      <c r="M41" s="189">
        <f t="shared" si="33"/>
        <v>129.80603729283942</v>
      </c>
      <c r="N41" s="190">
        <f t="shared" si="33"/>
        <v>134.99827878455301</v>
      </c>
    </row>
    <row r="42" spans="1:14" ht="36" x14ac:dyDescent="0.25">
      <c r="A42" s="16" t="s">
        <v>499</v>
      </c>
      <c r="B42" s="3" t="s">
        <v>0</v>
      </c>
      <c r="C42" s="17" t="s">
        <v>9</v>
      </c>
      <c r="D42" s="187">
        <f>'Исходные данные'!D69</f>
        <v>144</v>
      </c>
      <c r="E42" s="187">
        <f t="shared" ref="E42:N42" si="34">D42*E36</f>
        <v>149.76</v>
      </c>
      <c r="F42" s="187">
        <f t="shared" si="34"/>
        <v>155.75039999999998</v>
      </c>
      <c r="G42" s="187">
        <f t="shared" si="34"/>
        <v>161.98041599999999</v>
      </c>
      <c r="H42" s="187">
        <f t="shared" si="34"/>
        <v>168.45963264</v>
      </c>
      <c r="I42" s="187">
        <f t="shared" si="34"/>
        <v>175.19801794560001</v>
      </c>
      <c r="J42" s="187">
        <f t="shared" si="34"/>
        <v>182.20593866342401</v>
      </c>
      <c r="K42" s="187">
        <f t="shared" si="34"/>
        <v>189.49417620996098</v>
      </c>
      <c r="L42" s="187">
        <f t="shared" si="34"/>
        <v>197.07394325835944</v>
      </c>
      <c r="M42" s="187">
        <f t="shared" si="34"/>
        <v>204.95690098869383</v>
      </c>
      <c r="N42" s="187">
        <f t="shared" si="34"/>
        <v>213.15517702824158</v>
      </c>
    </row>
    <row r="43" spans="1:14" ht="36" x14ac:dyDescent="0.25">
      <c r="A43" s="16" t="s">
        <v>384</v>
      </c>
      <c r="B43" s="3" t="s">
        <v>0</v>
      </c>
      <c r="C43" s="17" t="s">
        <v>9</v>
      </c>
      <c r="D43" s="109">
        <f>'Исходные данные'!D70</f>
        <v>101.8</v>
      </c>
      <c r="E43" s="109">
        <f>D43</f>
        <v>101.8</v>
      </c>
      <c r="F43" s="109">
        <f t="shared" ref="F43:N43" si="35">E43</f>
        <v>101.8</v>
      </c>
      <c r="G43" s="109">
        <f t="shared" si="35"/>
        <v>101.8</v>
      </c>
      <c r="H43" s="109">
        <f t="shared" si="35"/>
        <v>101.8</v>
      </c>
      <c r="I43" s="109">
        <f t="shared" si="35"/>
        <v>101.8</v>
      </c>
      <c r="J43" s="109">
        <f t="shared" si="35"/>
        <v>101.8</v>
      </c>
      <c r="K43" s="109">
        <f t="shared" si="35"/>
        <v>101.8</v>
      </c>
      <c r="L43" s="109">
        <f t="shared" si="35"/>
        <v>101.8</v>
      </c>
      <c r="M43" s="109">
        <f t="shared" si="35"/>
        <v>101.8</v>
      </c>
      <c r="N43" s="109">
        <f t="shared" si="35"/>
        <v>101.8</v>
      </c>
    </row>
    <row r="44" spans="1:14" x14ac:dyDescent="0.25">
      <c r="A44" s="114" t="s">
        <v>273</v>
      </c>
      <c r="B44" s="3" t="s">
        <v>0</v>
      </c>
      <c r="C44" s="17" t="s">
        <v>9</v>
      </c>
      <c r="D44" s="118">
        <f>'Исходные данные'!D67</f>
        <v>36</v>
      </c>
      <c r="E44" s="21">
        <f>D44</f>
        <v>36</v>
      </c>
      <c r="F44" s="21">
        <f t="shared" ref="F44:N45" si="36">E44</f>
        <v>36</v>
      </c>
      <c r="G44" s="21">
        <f t="shared" si="36"/>
        <v>36</v>
      </c>
      <c r="H44" s="21">
        <f t="shared" si="36"/>
        <v>36</v>
      </c>
      <c r="I44" s="21">
        <f t="shared" si="36"/>
        <v>36</v>
      </c>
      <c r="J44" s="21">
        <f t="shared" si="36"/>
        <v>36</v>
      </c>
      <c r="K44" s="21">
        <f t="shared" si="36"/>
        <v>36</v>
      </c>
      <c r="L44" s="21">
        <f t="shared" si="36"/>
        <v>36</v>
      </c>
      <c r="M44" s="21">
        <f t="shared" si="36"/>
        <v>36</v>
      </c>
      <c r="N44" s="21">
        <f t="shared" si="36"/>
        <v>36</v>
      </c>
    </row>
    <row r="45" spans="1:14" x14ac:dyDescent="0.25">
      <c r="A45" s="114" t="s">
        <v>500</v>
      </c>
      <c r="B45" s="3" t="s">
        <v>0</v>
      </c>
      <c r="C45" s="17" t="s">
        <v>9</v>
      </c>
      <c r="D45" s="118">
        <f>'Исходные данные'!D68</f>
        <v>57.7</v>
      </c>
      <c r="E45" s="21">
        <f>D45</f>
        <v>57.7</v>
      </c>
      <c r="F45" s="21">
        <f t="shared" si="36"/>
        <v>57.7</v>
      </c>
      <c r="G45" s="21">
        <f t="shared" si="36"/>
        <v>57.7</v>
      </c>
      <c r="H45" s="21">
        <f t="shared" si="36"/>
        <v>57.7</v>
      </c>
      <c r="I45" s="21">
        <f t="shared" si="36"/>
        <v>57.7</v>
      </c>
      <c r="J45" s="21">
        <f t="shared" si="36"/>
        <v>57.7</v>
      </c>
      <c r="K45" s="21">
        <f t="shared" si="36"/>
        <v>57.7</v>
      </c>
      <c r="L45" s="21">
        <f t="shared" si="36"/>
        <v>57.7</v>
      </c>
      <c r="M45" s="21">
        <f t="shared" si="36"/>
        <v>57.7</v>
      </c>
      <c r="N45" s="21">
        <f>D45</f>
        <v>57.7</v>
      </c>
    </row>
    <row r="46" spans="1:14" x14ac:dyDescent="0.25">
      <c r="A46" s="16" t="s">
        <v>49</v>
      </c>
      <c r="B46" s="3" t="s">
        <v>0</v>
      </c>
      <c r="C46" s="6" t="s">
        <v>127</v>
      </c>
      <c r="D46" s="23">
        <f>'Исходные данные'!D73</f>
        <v>1.1000000000000001</v>
      </c>
      <c r="E46" s="41">
        <f t="shared" ref="E46:N46" si="37">D46*E32</f>
        <v>1.1440000000000001</v>
      </c>
      <c r="F46" s="41">
        <f t="shared" si="37"/>
        <v>1.1897600000000002</v>
      </c>
      <c r="G46" s="41">
        <f t="shared" si="37"/>
        <v>1.2373504000000002</v>
      </c>
      <c r="H46" s="41">
        <f t="shared" si="37"/>
        <v>1.2868444160000003</v>
      </c>
      <c r="I46" s="41">
        <f t="shared" si="37"/>
        <v>1.3383181926400003</v>
      </c>
      <c r="J46" s="41">
        <f t="shared" si="37"/>
        <v>1.3918509203456004</v>
      </c>
      <c r="K46" s="41">
        <f t="shared" si="37"/>
        <v>1.4475249571594244</v>
      </c>
      <c r="L46" s="41">
        <f t="shared" si="37"/>
        <v>1.5054259554458014</v>
      </c>
      <c r="M46" s="41">
        <f t="shared" si="37"/>
        <v>1.5656429936636336</v>
      </c>
      <c r="N46" s="41">
        <f t="shared" si="37"/>
        <v>1.628268713410179</v>
      </c>
    </row>
    <row r="47" spans="1:14" ht="25.9" customHeight="1" x14ac:dyDescent="0.25">
      <c r="A47" s="339" t="s">
        <v>563</v>
      </c>
      <c r="B47" s="3" t="s">
        <v>0</v>
      </c>
      <c r="C47" s="111" t="s">
        <v>9</v>
      </c>
      <c r="D47" s="6">
        <f>'Исходные данные'!D72</f>
        <v>90</v>
      </c>
      <c r="E47" s="109">
        <f t="shared" ref="E47:N47" si="38">D47*E37</f>
        <v>93.600000000000009</v>
      </c>
      <c r="F47" s="109">
        <f t="shared" si="38"/>
        <v>97.344000000000008</v>
      </c>
      <c r="G47" s="109">
        <f t="shared" si="38"/>
        <v>101.23776000000001</v>
      </c>
      <c r="H47" s="109">
        <f t="shared" si="38"/>
        <v>105.28727040000001</v>
      </c>
      <c r="I47" s="109">
        <f t="shared" si="38"/>
        <v>109.49876121600002</v>
      </c>
      <c r="J47" s="109">
        <f t="shared" si="38"/>
        <v>113.87871166464002</v>
      </c>
      <c r="K47" s="109">
        <f t="shared" si="38"/>
        <v>118.43386013122563</v>
      </c>
      <c r="L47" s="109">
        <f t="shared" si="38"/>
        <v>123.17121453647466</v>
      </c>
      <c r="M47" s="109">
        <f t="shared" si="38"/>
        <v>128.09806311793366</v>
      </c>
      <c r="N47" s="109">
        <f t="shared" si="38"/>
        <v>133.22198564265102</v>
      </c>
    </row>
    <row r="48" spans="1:14" ht="20.25" x14ac:dyDescent="0.3">
      <c r="A48" s="399" t="s">
        <v>116</v>
      </c>
      <c r="B48" s="418"/>
      <c r="C48" s="418"/>
      <c r="D48" s="419"/>
      <c r="E48" s="420"/>
      <c r="F48" s="420"/>
      <c r="G48" s="420"/>
      <c r="H48" s="420"/>
      <c r="I48" s="420"/>
      <c r="J48" s="420"/>
      <c r="K48" s="420"/>
      <c r="L48" s="420"/>
      <c r="M48" s="420"/>
      <c r="N48" s="420"/>
    </row>
    <row r="49" spans="1:14" x14ac:dyDescent="0.25">
      <c r="A49" s="16" t="s">
        <v>501</v>
      </c>
      <c r="B49" s="3" t="s">
        <v>0</v>
      </c>
      <c r="C49" s="112" t="s">
        <v>183</v>
      </c>
      <c r="D49" s="23">
        <f>'Исходные данные'!D76</f>
        <v>2</v>
      </c>
      <c r="E49" s="6">
        <f>D49</f>
        <v>2</v>
      </c>
      <c r="F49" s="109">
        <f t="shared" ref="F49:N49" si="39">E49*F32</f>
        <v>2.08</v>
      </c>
      <c r="G49" s="109">
        <f t="shared" si="39"/>
        <v>2.1632000000000002</v>
      </c>
      <c r="H49" s="109">
        <f t="shared" si="39"/>
        <v>2.2497280000000002</v>
      </c>
      <c r="I49" s="109">
        <f t="shared" si="39"/>
        <v>2.3397171200000004</v>
      </c>
      <c r="J49" s="109">
        <f t="shared" si="39"/>
        <v>2.4333058048000007</v>
      </c>
      <c r="K49" s="109">
        <f t="shared" si="39"/>
        <v>2.5306380369920007</v>
      </c>
      <c r="L49" s="109">
        <f t="shared" si="39"/>
        <v>2.631863558471681</v>
      </c>
      <c r="M49" s="109">
        <f t="shared" si="39"/>
        <v>2.7371381008105482</v>
      </c>
      <c r="N49" s="109">
        <f t="shared" si="39"/>
        <v>2.8466236248429704</v>
      </c>
    </row>
    <row r="50" spans="1:14" x14ac:dyDescent="0.25">
      <c r="A50" s="16" t="s">
        <v>5</v>
      </c>
      <c r="B50" s="3" t="s">
        <v>0</v>
      </c>
      <c r="C50" s="112" t="s">
        <v>9</v>
      </c>
      <c r="D50" s="95">
        <f>'Исходные данные'!D77</f>
        <v>44.5</v>
      </c>
      <c r="E50" s="6">
        <f t="shared" ref="E50:N50" si="40">D50*E38</f>
        <v>46.28</v>
      </c>
      <c r="F50" s="109">
        <f t="shared" si="40"/>
        <v>48.1312</v>
      </c>
      <c r="G50" s="109">
        <f t="shared" si="40"/>
        <v>50.056448000000003</v>
      </c>
      <c r="H50" s="109">
        <f t="shared" si="40"/>
        <v>52.058705920000008</v>
      </c>
      <c r="I50" s="109">
        <f t="shared" si="40"/>
        <v>54.14105415680001</v>
      </c>
      <c r="J50" s="109">
        <f t="shared" si="40"/>
        <v>56.306696323072011</v>
      </c>
      <c r="K50" s="109">
        <f t="shared" si="40"/>
        <v>58.558964175994895</v>
      </c>
      <c r="L50" s="109">
        <f t="shared" si="40"/>
        <v>60.90132274303469</v>
      </c>
      <c r="M50" s="109">
        <f t="shared" si="40"/>
        <v>63.33737565275608</v>
      </c>
      <c r="N50" s="109">
        <f t="shared" si="40"/>
        <v>65.870870678866325</v>
      </c>
    </row>
    <row r="51" spans="1:14" x14ac:dyDescent="0.25">
      <c r="A51" s="16" t="s">
        <v>184</v>
      </c>
      <c r="B51" s="3" t="s">
        <v>0</v>
      </c>
      <c r="C51" s="112" t="s">
        <v>10</v>
      </c>
      <c r="D51" s="96">
        <f>'Исходные данные'!D78</f>
        <v>3</v>
      </c>
      <c r="E51" s="41">
        <f t="shared" ref="E51:N51" si="41">D51*E38</f>
        <v>3.12</v>
      </c>
      <c r="F51" s="41">
        <f t="shared" si="41"/>
        <v>3.2448000000000001</v>
      </c>
      <c r="G51" s="41">
        <f t="shared" si="41"/>
        <v>3.3745920000000003</v>
      </c>
      <c r="H51" s="41">
        <f t="shared" si="41"/>
        <v>3.5095756800000002</v>
      </c>
      <c r="I51" s="41">
        <f t="shared" si="41"/>
        <v>3.6499587072000002</v>
      </c>
      <c r="J51" s="41">
        <f t="shared" si="41"/>
        <v>3.7959570554880004</v>
      </c>
      <c r="K51" s="41">
        <f t="shared" si="41"/>
        <v>3.9477953377075208</v>
      </c>
      <c r="L51" s="41">
        <f t="shared" si="41"/>
        <v>4.1057071512158219</v>
      </c>
      <c r="M51" s="41">
        <f t="shared" si="41"/>
        <v>4.2699354372644551</v>
      </c>
      <c r="N51" s="41">
        <f t="shared" si="41"/>
        <v>4.4407328547550335</v>
      </c>
    </row>
    <row r="52" spans="1:14" x14ac:dyDescent="0.25">
      <c r="A52" s="16" t="s">
        <v>185</v>
      </c>
      <c r="B52" s="3" t="s">
        <v>0</v>
      </c>
      <c r="C52" s="112" t="s">
        <v>10</v>
      </c>
      <c r="D52" s="180">
        <f>'Исходные данные'!D79</f>
        <v>3</v>
      </c>
      <c r="E52" s="109">
        <f t="shared" ref="E52:N52" si="42">D52*E38</f>
        <v>3.12</v>
      </c>
      <c r="F52" s="109">
        <f t="shared" si="42"/>
        <v>3.2448000000000001</v>
      </c>
      <c r="G52" s="109">
        <f t="shared" si="42"/>
        <v>3.3745920000000003</v>
      </c>
      <c r="H52" s="109">
        <f t="shared" si="42"/>
        <v>3.5095756800000002</v>
      </c>
      <c r="I52" s="109">
        <f t="shared" si="42"/>
        <v>3.6499587072000002</v>
      </c>
      <c r="J52" s="109">
        <f t="shared" si="42"/>
        <v>3.7959570554880004</v>
      </c>
      <c r="K52" s="109">
        <f t="shared" si="42"/>
        <v>3.9477953377075208</v>
      </c>
      <c r="L52" s="109">
        <f t="shared" si="42"/>
        <v>4.1057071512158219</v>
      </c>
      <c r="M52" s="109">
        <f t="shared" si="42"/>
        <v>4.2699354372644551</v>
      </c>
      <c r="N52" s="109">
        <f t="shared" si="42"/>
        <v>4.4407328547550335</v>
      </c>
    </row>
    <row r="53" spans="1:14" s="24" customFormat="1" x14ac:dyDescent="0.25">
      <c r="A53" s="22" t="s">
        <v>495</v>
      </c>
      <c r="B53" s="3" t="s">
        <v>0</v>
      </c>
      <c r="C53" s="113" t="s">
        <v>10</v>
      </c>
      <c r="D53" s="118">
        <f>'Исходные данные'!D80</f>
        <v>2</v>
      </c>
      <c r="E53" s="118">
        <f t="shared" ref="E53:N53" si="43">D53*E38</f>
        <v>2.08</v>
      </c>
      <c r="F53" s="118">
        <f t="shared" si="43"/>
        <v>2.1632000000000002</v>
      </c>
      <c r="G53" s="118">
        <f t="shared" si="43"/>
        <v>2.2497280000000002</v>
      </c>
      <c r="H53" s="118">
        <f t="shared" si="43"/>
        <v>2.3397171200000004</v>
      </c>
      <c r="I53" s="118">
        <f t="shared" si="43"/>
        <v>2.4333058048000007</v>
      </c>
      <c r="J53" s="118">
        <f t="shared" si="43"/>
        <v>2.5306380369920007</v>
      </c>
      <c r="K53" s="118">
        <f t="shared" si="43"/>
        <v>2.631863558471681</v>
      </c>
      <c r="L53" s="118">
        <f t="shared" si="43"/>
        <v>2.7371381008105482</v>
      </c>
      <c r="M53" s="118">
        <f t="shared" si="43"/>
        <v>2.8466236248429704</v>
      </c>
      <c r="N53" s="118">
        <f t="shared" si="43"/>
        <v>2.9604885698366892</v>
      </c>
    </row>
    <row r="54" spans="1:14" s="24" customFormat="1" ht="36" x14ac:dyDescent="0.25">
      <c r="A54" s="170" t="s">
        <v>565</v>
      </c>
      <c r="B54" s="3" t="s">
        <v>0</v>
      </c>
      <c r="C54" s="113" t="s">
        <v>10</v>
      </c>
      <c r="D54" s="118">
        <f>'Исходные данные'!D81</f>
        <v>7</v>
      </c>
      <c r="E54" s="118">
        <f t="shared" ref="E54:N54" si="44">D54*E38</f>
        <v>7.28</v>
      </c>
      <c r="F54" s="118">
        <f t="shared" si="44"/>
        <v>7.5712000000000002</v>
      </c>
      <c r="G54" s="118">
        <f t="shared" si="44"/>
        <v>7.8740480000000002</v>
      </c>
      <c r="H54" s="118">
        <f t="shared" si="44"/>
        <v>8.1890099200000002</v>
      </c>
      <c r="I54" s="118">
        <f t="shared" si="44"/>
        <v>8.5165703168000011</v>
      </c>
      <c r="J54" s="118">
        <f t="shared" si="44"/>
        <v>8.8572331294720019</v>
      </c>
      <c r="K54" s="118">
        <f t="shared" si="44"/>
        <v>9.2115224546508827</v>
      </c>
      <c r="L54" s="118">
        <f t="shared" si="44"/>
        <v>9.5799833528369192</v>
      </c>
      <c r="M54" s="118">
        <f t="shared" si="44"/>
        <v>9.9631826869503968</v>
      </c>
      <c r="N54" s="118">
        <f t="shared" si="44"/>
        <v>10.361709994428413</v>
      </c>
    </row>
    <row r="55" spans="1:14" s="115" customFormat="1" ht="36" x14ac:dyDescent="0.25">
      <c r="A55" s="170" t="s">
        <v>421</v>
      </c>
      <c r="B55" s="3" t="s">
        <v>0</v>
      </c>
      <c r="C55" s="113" t="s">
        <v>10</v>
      </c>
      <c r="D55" s="118">
        <f>'Исходные данные'!D82</f>
        <v>3.5</v>
      </c>
      <c r="E55" s="118">
        <f t="shared" ref="E55:N55" si="45">D55*E38</f>
        <v>3.64</v>
      </c>
      <c r="F55" s="118">
        <f t="shared" si="45"/>
        <v>3.7856000000000001</v>
      </c>
      <c r="G55" s="118">
        <f t="shared" si="45"/>
        <v>3.9370240000000001</v>
      </c>
      <c r="H55" s="118">
        <f t="shared" si="45"/>
        <v>4.0945049600000001</v>
      </c>
      <c r="I55" s="118">
        <f t="shared" si="45"/>
        <v>4.2582851584000005</v>
      </c>
      <c r="J55" s="118">
        <f t="shared" si="45"/>
        <v>4.428616564736001</v>
      </c>
      <c r="K55" s="118">
        <f t="shared" si="45"/>
        <v>4.6057612273254414</v>
      </c>
      <c r="L55" s="118">
        <f t="shared" si="45"/>
        <v>4.7899916764184596</v>
      </c>
      <c r="M55" s="118">
        <f t="shared" si="45"/>
        <v>4.9815913434751984</v>
      </c>
      <c r="N55" s="118">
        <f t="shared" si="45"/>
        <v>5.1808549972142064</v>
      </c>
    </row>
    <row r="56" spans="1:14" s="115" customFormat="1" ht="36" x14ac:dyDescent="0.25">
      <c r="A56" s="170" t="s">
        <v>377</v>
      </c>
      <c r="B56" s="3" t="s">
        <v>0</v>
      </c>
      <c r="C56" s="113" t="s">
        <v>10</v>
      </c>
      <c r="D56" s="118">
        <f>'Исходные данные'!D83</f>
        <v>10</v>
      </c>
      <c r="E56" s="118">
        <f>D56*E38</f>
        <v>10.4</v>
      </c>
      <c r="F56" s="118">
        <f t="shared" ref="F56:N56" si="46">E56*F38</f>
        <v>10.816000000000001</v>
      </c>
      <c r="G56" s="118">
        <f t="shared" si="46"/>
        <v>11.248640000000002</v>
      </c>
      <c r="H56" s="118">
        <f t="shared" si="46"/>
        <v>11.698585600000003</v>
      </c>
      <c r="I56" s="118">
        <f t="shared" si="46"/>
        <v>12.166529024000004</v>
      </c>
      <c r="J56" s="118">
        <f t="shared" si="46"/>
        <v>12.653190184960005</v>
      </c>
      <c r="K56" s="118">
        <f t="shared" si="46"/>
        <v>13.159317792358406</v>
      </c>
      <c r="L56" s="118">
        <f t="shared" si="46"/>
        <v>13.685690504052744</v>
      </c>
      <c r="M56" s="118">
        <f t="shared" si="46"/>
        <v>14.233118124214855</v>
      </c>
      <c r="N56" s="118">
        <f t="shared" si="46"/>
        <v>14.80244284918345</v>
      </c>
    </row>
    <row r="57" spans="1:14" x14ac:dyDescent="0.25">
      <c r="A57" s="16" t="s">
        <v>71</v>
      </c>
      <c r="B57" s="3" t="s">
        <v>0</v>
      </c>
      <c r="C57" s="112" t="s">
        <v>11</v>
      </c>
      <c r="D57" s="95">
        <f>'Исходные данные'!D85</f>
        <v>250</v>
      </c>
      <c r="E57" s="109">
        <f t="shared" ref="E57:N57" si="47">D57*E32</f>
        <v>260</v>
      </c>
      <c r="F57" s="109">
        <f t="shared" si="47"/>
        <v>270.40000000000003</v>
      </c>
      <c r="G57" s="109">
        <f t="shared" si="47"/>
        <v>281.21600000000007</v>
      </c>
      <c r="H57" s="109">
        <f t="shared" si="47"/>
        <v>292.46464000000009</v>
      </c>
      <c r="I57" s="109">
        <f t="shared" si="47"/>
        <v>304.16322560000009</v>
      </c>
      <c r="J57" s="109">
        <f t="shared" si="47"/>
        <v>316.32975462400009</v>
      </c>
      <c r="K57" s="109">
        <f t="shared" si="47"/>
        <v>328.9829448089601</v>
      </c>
      <c r="L57" s="109">
        <f t="shared" si="47"/>
        <v>342.14226260131852</v>
      </c>
      <c r="M57" s="109">
        <f t="shared" si="47"/>
        <v>355.82795310537125</v>
      </c>
      <c r="N57" s="109">
        <f t="shared" si="47"/>
        <v>370.0610712295861</v>
      </c>
    </row>
    <row r="58" spans="1:14" x14ac:dyDescent="0.25">
      <c r="A58" s="16" t="s">
        <v>6</v>
      </c>
      <c r="B58" s="3" t="s">
        <v>0</v>
      </c>
      <c r="C58" s="112" t="s">
        <v>9</v>
      </c>
      <c r="D58" s="95">
        <f>'Исходные данные'!D86</f>
        <v>2</v>
      </c>
      <c r="E58" s="109">
        <f t="shared" ref="E58:N58" si="48">D58*E32</f>
        <v>2.08</v>
      </c>
      <c r="F58" s="109">
        <f t="shared" si="48"/>
        <v>2.1632000000000002</v>
      </c>
      <c r="G58" s="109">
        <f t="shared" si="48"/>
        <v>2.2497280000000002</v>
      </c>
      <c r="H58" s="109">
        <f t="shared" si="48"/>
        <v>2.3397171200000004</v>
      </c>
      <c r="I58" s="109">
        <f t="shared" si="48"/>
        <v>2.4333058048000007</v>
      </c>
      <c r="J58" s="109">
        <f t="shared" si="48"/>
        <v>2.5306380369920007</v>
      </c>
      <c r="K58" s="109">
        <f t="shared" si="48"/>
        <v>2.631863558471681</v>
      </c>
      <c r="L58" s="109">
        <f t="shared" si="48"/>
        <v>2.7371381008105482</v>
      </c>
      <c r="M58" s="109">
        <f t="shared" si="48"/>
        <v>2.8466236248429704</v>
      </c>
      <c r="N58" s="109">
        <f t="shared" si="48"/>
        <v>2.9604885698366892</v>
      </c>
    </row>
    <row r="59" spans="1:14" x14ac:dyDescent="0.25">
      <c r="A59" s="14" t="s">
        <v>249</v>
      </c>
      <c r="B59" s="3" t="s">
        <v>0</v>
      </c>
      <c r="C59" s="111" t="s">
        <v>9</v>
      </c>
      <c r="D59" s="23">
        <f>'Исходные данные'!D84</f>
        <v>63.8</v>
      </c>
      <c r="E59" s="41">
        <f t="shared" ref="E59:N59" si="49">D59*E37</f>
        <v>66.352000000000004</v>
      </c>
      <c r="F59" s="41">
        <f t="shared" si="49"/>
        <v>69.006080000000011</v>
      </c>
      <c r="G59" s="41">
        <f t="shared" si="49"/>
        <v>71.766323200000016</v>
      </c>
      <c r="H59" s="41">
        <f t="shared" si="49"/>
        <v>74.636976128000015</v>
      </c>
      <c r="I59" s="41">
        <f t="shared" si="49"/>
        <v>77.622455173120017</v>
      </c>
      <c r="J59" s="41">
        <f t="shared" si="49"/>
        <v>80.727353380044818</v>
      </c>
      <c r="K59" s="41">
        <f t="shared" si="49"/>
        <v>83.956447515246609</v>
      </c>
      <c r="L59" s="41">
        <f t="shared" si="49"/>
        <v>87.31470541585648</v>
      </c>
      <c r="M59" s="41">
        <f t="shared" si="49"/>
        <v>90.80729363249074</v>
      </c>
      <c r="N59" s="41">
        <f t="shared" si="49"/>
        <v>94.43958537779038</v>
      </c>
    </row>
    <row r="60" spans="1:14" x14ac:dyDescent="0.25">
      <c r="A60" s="16" t="s">
        <v>7</v>
      </c>
      <c r="B60" s="3" t="s">
        <v>0</v>
      </c>
      <c r="C60" s="112" t="s">
        <v>237</v>
      </c>
      <c r="D60" s="95">
        <f>'Исходные данные'!D87</f>
        <v>1.5</v>
      </c>
      <c r="E60" s="109">
        <f t="shared" ref="E60:N60" si="50">D60*E38</f>
        <v>1.56</v>
      </c>
      <c r="F60" s="109">
        <f t="shared" si="50"/>
        <v>1.6224000000000001</v>
      </c>
      <c r="G60" s="109">
        <f t="shared" si="50"/>
        <v>1.6872960000000001</v>
      </c>
      <c r="H60" s="109">
        <f t="shared" si="50"/>
        <v>1.7547878400000001</v>
      </c>
      <c r="I60" s="109">
        <f t="shared" si="50"/>
        <v>1.8249793536000001</v>
      </c>
      <c r="J60" s="109">
        <f t="shared" si="50"/>
        <v>1.8979785277440002</v>
      </c>
      <c r="K60" s="109">
        <f t="shared" si="50"/>
        <v>1.9738976688537604</v>
      </c>
      <c r="L60" s="109">
        <f t="shared" si="50"/>
        <v>2.0528535756079109</v>
      </c>
      <c r="M60" s="109">
        <f t="shared" si="50"/>
        <v>2.1349677186322276</v>
      </c>
      <c r="N60" s="109">
        <f t="shared" si="50"/>
        <v>2.2203664273775168</v>
      </c>
    </row>
    <row r="61" spans="1:14" ht="20.25" x14ac:dyDescent="0.3">
      <c r="A61" s="396" t="s">
        <v>468</v>
      </c>
      <c r="B61" s="397"/>
      <c r="C61" s="398"/>
      <c r="D61" s="398"/>
      <c r="E61" s="375"/>
      <c r="F61" s="397"/>
      <c r="G61" s="397"/>
      <c r="H61" s="397"/>
      <c r="I61" s="397"/>
      <c r="J61" s="397"/>
      <c r="K61" s="397"/>
      <c r="L61" s="397"/>
      <c r="M61" s="397"/>
      <c r="N61" s="397"/>
    </row>
    <row r="62" spans="1:14" ht="63" customHeight="1" x14ac:dyDescent="0.25">
      <c r="A62" s="105" t="s">
        <v>568</v>
      </c>
      <c r="B62" s="104" t="s">
        <v>507</v>
      </c>
      <c r="C62" s="110" t="s">
        <v>517</v>
      </c>
      <c r="D62" s="106">
        <v>0.1</v>
      </c>
      <c r="E62" s="4"/>
      <c r="F62" s="3"/>
      <c r="G62" s="3"/>
      <c r="H62" s="3"/>
      <c r="I62" s="3"/>
      <c r="J62" s="3"/>
      <c r="K62" s="3"/>
      <c r="L62" s="3"/>
      <c r="M62" s="3"/>
      <c r="N62" s="3"/>
    </row>
    <row r="63" spans="1:14" ht="70.150000000000006" customHeight="1" x14ac:dyDescent="0.25">
      <c r="A63" s="105" t="s">
        <v>569</v>
      </c>
      <c r="B63" s="104" t="s">
        <v>507</v>
      </c>
      <c r="C63" s="110" t="s">
        <v>517</v>
      </c>
      <c r="D63" s="106">
        <v>0.7</v>
      </c>
      <c r="E63" s="4"/>
      <c r="F63" s="3"/>
      <c r="G63" s="3"/>
      <c r="H63" s="3"/>
      <c r="I63" s="3"/>
      <c r="J63" s="3"/>
      <c r="K63" s="3"/>
      <c r="L63" s="3"/>
      <c r="M63" s="3"/>
      <c r="N63" s="3"/>
    </row>
    <row r="64" spans="1:14" ht="76.900000000000006" customHeight="1" x14ac:dyDescent="0.25">
      <c r="A64" s="105" t="s">
        <v>516</v>
      </c>
      <c r="B64" s="104" t="s">
        <v>507</v>
      </c>
      <c r="C64" s="110" t="s">
        <v>517</v>
      </c>
      <c r="D64" s="106">
        <f>100%-D62-D63</f>
        <v>0.20000000000000007</v>
      </c>
      <c r="E64" s="4"/>
      <c r="F64" s="3"/>
      <c r="G64" s="3"/>
      <c r="H64" s="3"/>
      <c r="I64" s="3"/>
      <c r="J64" s="3"/>
      <c r="K64" s="3"/>
      <c r="L64" s="3"/>
      <c r="M64" s="3"/>
      <c r="N64" s="3"/>
    </row>
    <row r="65" spans="1:14" s="24" customFormat="1" ht="54" x14ac:dyDescent="0.25">
      <c r="A65" s="107" t="s">
        <v>566</v>
      </c>
      <c r="B65" s="3" t="s">
        <v>253</v>
      </c>
      <c r="C65" s="11" t="s">
        <v>247</v>
      </c>
      <c r="D65" s="340">
        <f>SUM(D66,D70,D72,D71)</f>
        <v>4.0120000000000005</v>
      </c>
      <c r="E65" s="116">
        <f>SUM(E66,E70,E72,E71)</f>
        <v>3.7319999999999998</v>
      </c>
      <c r="F65" s="116">
        <f>SUM(F66,F70,F72,F71)</f>
        <v>0</v>
      </c>
      <c r="G65" s="116">
        <f t="shared" ref="G65:N65" si="51">SUM(G66,G70,G72,G71)</f>
        <v>0</v>
      </c>
      <c r="H65" s="116">
        <f t="shared" si="51"/>
        <v>0.27999999999999997</v>
      </c>
      <c r="I65" s="116">
        <f t="shared" si="51"/>
        <v>0</v>
      </c>
      <c r="J65" s="116">
        <f t="shared" si="51"/>
        <v>0</v>
      </c>
      <c r="K65" s="116">
        <f t="shared" si="51"/>
        <v>0</v>
      </c>
      <c r="L65" s="116">
        <f t="shared" si="51"/>
        <v>0</v>
      </c>
      <c r="M65" s="116">
        <f t="shared" si="51"/>
        <v>0</v>
      </c>
      <c r="N65" s="116">
        <f t="shared" si="51"/>
        <v>0</v>
      </c>
    </row>
    <row r="66" spans="1:14" s="24" customFormat="1" ht="54" x14ac:dyDescent="0.25">
      <c r="A66" s="108" t="str">
        <f>'Базовые параметры'!A9</f>
        <v>Предоставление собственнику жилого помещения другого жилого помещения (в собственность переселяемого гражданина)</v>
      </c>
      <c r="B66" s="3" t="s">
        <v>253</v>
      </c>
      <c r="C66" s="11" t="s">
        <v>247</v>
      </c>
      <c r="D66" s="50">
        <f>SUM(D67:D69)</f>
        <v>2.8</v>
      </c>
      <c r="E66" s="23">
        <f>SUM(E67:E69)</f>
        <v>2.52</v>
      </c>
      <c r="F66" s="23">
        <f t="shared" ref="F66:N66" si="52">SUM(F67:F69)</f>
        <v>0</v>
      </c>
      <c r="G66" s="23">
        <f t="shared" si="52"/>
        <v>0</v>
      </c>
      <c r="H66" s="23">
        <f t="shared" si="52"/>
        <v>0.27999999999999997</v>
      </c>
      <c r="I66" s="23">
        <f>SUM(I67:I69)</f>
        <v>0</v>
      </c>
      <c r="J66" s="23">
        <f t="shared" si="52"/>
        <v>0</v>
      </c>
      <c r="K66" s="23">
        <f t="shared" si="52"/>
        <v>0</v>
      </c>
      <c r="L66" s="23">
        <f t="shared" si="52"/>
        <v>0</v>
      </c>
      <c r="M66" s="23">
        <f t="shared" si="52"/>
        <v>0</v>
      </c>
      <c r="N66" s="23">
        <f t="shared" si="52"/>
        <v>0</v>
      </c>
    </row>
    <row r="67" spans="1:14" s="24" customFormat="1" ht="54" x14ac:dyDescent="0.25">
      <c r="A67" s="108" t="s">
        <v>567</v>
      </c>
      <c r="B67" s="3" t="s">
        <v>253</v>
      </c>
      <c r="C67" s="11" t="s">
        <v>247</v>
      </c>
      <c r="D67" s="11">
        <f>'Базовые параметры'!$D$9*'Исходные данные'!$D$14*D62</f>
        <v>0.27999999999999997</v>
      </c>
      <c r="E67" s="23">
        <v>0</v>
      </c>
      <c r="F67" s="23">
        <v>0</v>
      </c>
      <c r="G67" s="11">
        <v>0</v>
      </c>
      <c r="H67" s="23">
        <f>D67</f>
        <v>0.27999999999999997</v>
      </c>
      <c r="I67" s="11">
        <v>0</v>
      </c>
      <c r="J67" s="11">
        <v>0</v>
      </c>
      <c r="K67" s="11">
        <v>0</v>
      </c>
      <c r="L67" s="11">
        <v>0</v>
      </c>
      <c r="M67" s="11">
        <v>0</v>
      </c>
      <c r="N67" s="11">
        <v>0</v>
      </c>
    </row>
    <row r="68" spans="1:14" s="24" customFormat="1" ht="54" x14ac:dyDescent="0.25">
      <c r="A68" s="108" t="s">
        <v>570</v>
      </c>
      <c r="B68" s="3" t="s">
        <v>253</v>
      </c>
      <c r="C68" s="11" t="s">
        <v>247</v>
      </c>
      <c r="D68" s="11">
        <f>'Базовые параметры'!$D$9*'Исходные данные'!$D$14*D63</f>
        <v>1.9599999999999997</v>
      </c>
      <c r="E68" s="11">
        <f t="shared" ref="E68:E73" si="53">D68</f>
        <v>1.9599999999999997</v>
      </c>
      <c r="F68" s="181">
        <v>0</v>
      </c>
      <c r="G68" s="181">
        <v>0</v>
      </c>
      <c r="H68" s="181">
        <v>0</v>
      </c>
      <c r="I68" s="181">
        <v>0</v>
      </c>
      <c r="J68" s="181">
        <v>0</v>
      </c>
      <c r="K68" s="181">
        <v>0</v>
      </c>
      <c r="L68" s="181">
        <v>0</v>
      </c>
      <c r="M68" s="181">
        <v>0</v>
      </c>
      <c r="N68" s="181">
        <v>0</v>
      </c>
    </row>
    <row r="69" spans="1:14" s="24" customFormat="1" ht="54" x14ac:dyDescent="0.25">
      <c r="A69" s="108" t="s">
        <v>263</v>
      </c>
      <c r="B69" s="3" t="s">
        <v>253</v>
      </c>
      <c r="C69" s="11" t="s">
        <v>247</v>
      </c>
      <c r="D69" s="116">
        <f>'Базовые параметры'!$D$9*'Исходные данные'!$D$14*D64</f>
        <v>0.56000000000000016</v>
      </c>
      <c r="E69" s="116">
        <f t="shared" si="53"/>
        <v>0.56000000000000016</v>
      </c>
      <c r="F69" s="181">
        <v>0</v>
      </c>
      <c r="G69" s="181">
        <v>0</v>
      </c>
      <c r="H69" s="181">
        <v>0</v>
      </c>
      <c r="I69" s="181">
        <v>0</v>
      </c>
      <c r="J69" s="181">
        <v>0</v>
      </c>
      <c r="K69" s="181">
        <v>0</v>
      </c>
      <c r="L69" s="181">
        <v>0</v>
      </c>
      <c r="M69" s="181">
        <v>0</v>
      </c>
      <c r="N69" s="181">
        <v>0</v>
      </c>
    </row>
    <row r="70" spans="1:14" s="24" customFormat="1" ht="54" x14ac:dyDescent="0.25">
      <c r="A70" s="108" t="str">
        <f>'Базовые параметры'!A10</f>
        <v>Предоставление нанимателям жилых помещений другого жилого помещения по договору найма жилого помещения в жилищном фонде социального использования (договор некоммерческого найма)</v>
      </c>
      <c r="B70" s="3" t="s">
        <v>253</v>
      </c>
      <c r="C70" s="11" t="s">
        <v>247</v>
      </c>
      <c r="D70" s="11">
        <f>'Базовые параметры'!D10*'Исходные данные'!D14*'Базовые параметры'!D6</f>
        <v>5.2000000000000005E-2</v>
      </c>
      <c r="E70" s="116">
        <f t="shared" si="53"/>
        <v>5.2000000000000005E-2</v>
      </c>
      <c r="F70" s="116">
        <v>0</v>
      </c>
      <c r="G70" s="23">
        <v>0</v>
      </c>
      <c r="H70" s="23">
        <v>0</v>
      </c>
      <c r="I70" s="23">
        <v>0</v>
      </c>
      <c r="J70" s="23">
        <v>0</v>
      </c>
      <c r="K70" s="23">
        <v>0</v>
      </c>
      <c r="L70" s="23">
        <v>0</v>
      </c>
      <c r="M70" s="23">
        <v>0</v>
      </c>
      <c r="N70" s="23">
        <v>0</v>
      </c>
    </row>
    <row r="71" spans="1:14" s="24" customFormat="1" ht="54" x14ac:dyDescent="0.25">
      <c r="A71" s="108" t="str">
        <f>'Базовые параметры'!A11</f>
        <v xml:space="preserve">Предоставление нанимателям жилых помещений другого жилого помещения по договору социального найма </v>
      </c>
      <c r="B71" s="3" t="s">
        <v>253</v>
      </c>
      <c r="C71" s="11" t="s">
        <v>247</v>
      </c>
      <c r="D71" s="11">
        <f>'Базовые параметры'!D11*'Исходные данные'!D14</f>
        <v>0.36</v>
      </c>
      <c r="E71" s="116">
        <f t="shared" si="53"/>
        <v>0.36</v>
      </c>
      <c r="F71" s="116">
        <v>0</v>
      </c>
      <c r="G71" s="116">
        <v>0</v>
      </c>
      <c r="H71" s="116">
        <f>H70</f>
        <v>0</v>
      </c>
      <c r="I71" s="23">
        <v>0</v>
      </c>
      <c r="J71" s="23">
        <v>0</v>
      </c>
      <c r="K71" s="23">
        <v>0</v>
      </c>
      <c r="L71" s="23">
        <v>0</v>
      </c>
      <c r="M71" s="23">
        <v>0</v>
      </c>
      <c r="N71" s="23">
        <v>0</v>
      </c>
    </row>
    <row r="72" spans="1:14" s="24" customFormat="1" ht="54" x14ac:dyDescent="0.25">
      <c r="A72" s="108" t="str">
        <f>'Базовые параметры'!A12</f>
        <v>Выплата собственникам жилых помещений возмещения за изымаемое жилое помещение в размере рыночной стоимости жилого помещения (ч. 7 ст. 32 ЖК РФ)</v>
      </c>
      <c r="B72" s="3" t="s">
        <v>253</v>
      </c>
      <c r="C72" s="11" t="s">
        <v>247</v>
      </c>
      <c r="D72" s="11">
        <f>'Базовые параметры'!D12*'Исходные данные'!D14</f>
        <v>0.8</v>
      </c>
      <c r="E72" s="116">
        <f t="shared" si="53"/>
        <v>0.8</v>
      </c>
      <c r="F72" s="116">
        <v>0</v>
      </c>
      <c r="G72" s="116">
        <v>0</v>
      </c>
      <c r="H72" s="116">
        <v>0</v>
      </c>
      <c r="I72" s="116">
        <v>0</v>
      </c>
      <c r="J72" s="116">
        <v>0</v>
      </c>
      <c r="K72" s="116">
        <v>0</v>
      </c>
      <c r="L72" s="116">
        <v>0</v>
      </c>
      <c r="M72" s="116">
        <v>0</v>
      </c>
      <c r="N72" s="116">
        <v>0</v>
      </c>
    </row>
    <row r="73" spans="1:14" s="24" customFormat="1" ht="54" x14ac:dyDescent="0.25">
      <c r="A73" s="108" t="str">
        <f>'Базовые параметры'!A13</f>
        <v>Предоставление субсидии на приобретение, строительство жилого помещения, оплату процентов по ипотеке (если у гражданина отсутствует иное пригодное для проживания жилое помещение)</v>
      </c>
      <c r="B73" s="3" t="s">
        <v>253</v>
      </c>
      <c r="C73" s="11" t="s">
        <v>247</v>
      </c>
      <c r="D73" s="11">
        <f>'Базовые параметры'!D13*'Исходные данные'!D14</f>
        <v>0.4</v>
      </c>
      <c r="E73" s="116">
        <f t="shared" si="53"/>
        <v>0.4</v>
      </c>
      <c r="F73" s="116">
        <v>0</v>
      </c>
      <c r="G73" s="116">
        <v>0</v>
      </c>
      <c r="H73" s="116">
        <v>0</v>
      </c>
      <c r="I73" s="116">
        <v>0</v>
      </c>
      <c r="J73" s="116">
        <v>0</v>
      </c>
      <c r="K73" s="116">
        <v>0</v>
      </c>
      <c r="L73" s="116">
        <v>0</v>
      </c>
      <c r="M73" s="116">
        <v>0</v>
      </c>
      <c r="N73" s="116">
        <v>0</v>
      </c>
    </row>
    <row r="74" spans="1:14" s="24" customFormat="1" ht="54" x14ac:dyDescent="0.25">
      <c r="A74" s="107" t="s">
        <v>496</v>
      </c>
      <c r="B74" s="3" t="s">
        <v>253</v>
      </c>
      <c r="C74" s="11" t="s">
        <v>247</v>
      </c>
      <c r="D74" s="11">
        <f t="shared" ref="D74:N74" si="54">SUM(D75,D79,D83,D84,D85,D86)</f>
        <v>4.8519999999999994</v>
      </c>
      <c r="E74" s="11">
        <f t="shared" si="54"/>
        <v>4.4879999999999995</v>
      </c>
      <c r="F74" s="11">
        <f t="shared" si="54"/>
        <v>0</v>
      </c>
      <c r="G74" s="11">
        <f t="shared" si="54"/>
        <v>0</v>
      </c>
      <c r="H74" s="11">
        <f t="shared" si="54"/>
        <v>0.36399999999999999</v>
      </c>
      <c r="I74" s="11">
        <f t="shared" si="54"/>
        <v>0</v>
      </c>
      <c r="J74" s="11">
        <f t="shared" si="54"/>
        <v>0</v>
      </c>
      <c r="K74" s="11">
        <f t="shared" si="54"/>
        <v>0</v>
      </c>
      <c r="L74" s="11">
        <f t="shared" si="54"/>
        <v>0</v>
      </c>
      <c r="M74" s="116">
        <f t="shared" si="54"/>
        <v>0</v>
      </c>
      <c r="N74" s="11">
        <f t="shared" si="54"/>
        <v>0</v>
      </c>
    </row>
    <row r="75" spans="1:14" s="24" customFormat="1" ht="37.9" customHeight="1" x14ac:dyDescent="0.25">
      <c r="A75" s="108" t="str">
        <f>'Базовые параметры'!A15</f>
        <v>Предоставление собственникам жилого помещения другого равнозначного жилого помещения (если предусмотрено предоставление равнозначного жилого помещения)</v>
      </c>
      <c r="B75" s="3" t="s">
        <v>253</v>
      </c>
      <c r="C75" s="11" t="s">
        <v>247</v>
      </c>
      <c r="D75" s="11">
        <f>SUM(D76:D78)</f>
        <v>3.6399999999999997</v>
      </c>
      <c r="E75" s="19">
        <f>SUM(E76:E78)</f>
        <v>3.2759999999999998</v>
      </c>
      <c r="F75" s="19">
        <f t="shared" ref="F75:N75" si="55">SUM(F76:F78)</f>
        <v>0</v>
      </c>
      <c r="G75" s="19">
        <f t="shared" si="55"/>
        <v>0</v>
      </c>
      <c r="H75" s="19">
        <f t="shared" si="55"/>
        <v>0.36399999999999999</v>
      </c>
      <c r="I75" s="19">
        <f t="shared" si="55"/>
        <v>0</v>
      </c>
      <c r="J75" s="19">
        <f t="shared" si="55"/>
        <v>0</v>
      </c>
      <c r="K75" s="19">
        <f t="shared" si="55"/>
        <v>0</v>
      </c>
      <c r="L75" s="19">
        <f t="shared" si="55"/>
        <v>0</v>
      </c>
      <c r="M75" s="19">
        <f t="shared" si="55"/>
        <v>0</v>
      </c>
      <c r="N75" s="19">
        <f t="shared" si="55"/>
        <v>0</v>
      </c>
    </row>
    <row r="76" spans="1:14" s="24" customFormat="1" ht="54" x14ac:dyDescent="0.25">
      <c r="A76" s="108" t="s">
        <v>567</v>
      </c>
      <c r="B76" s="3" t="s">
        <v>253</v>
      </c>
      <c r="C76" s="11" t="s">
        <v>247</v>
      </c>
      <c r="D76" s="11">
        <f>D62*'Базовые параметры'!D15*'Исходные данные'!D14*'Базовые параметры'!D6</f>
        <v>0.36399999999999999</v>
      </c>
      <c r="E76" s="19">
        <v>0</v>
      </c>
      <c r="F76" s="19">
        <v>0</v>
      </c>
      <c r="G76" s="19">
        <v>0</v>
      </c>
      <c r="H76" s="19">
        <f>D76</f>
        <v>0.36399999999999999</v>
      </c>
      <c r="I76" s="23">
        <v>0</v>
      </c>
      <c r="J76" s="10">
        <v>0</v>
      </c>
      <c r="K76" s="10"/>
      <c r="L76" s="10"/>
      <c r="M76" s="10"/>
      <c r="N76" s="10"/>
    </row>
    <row r="77" spans="1:14" s="24" customFormat="1" ht="54" x14ac:dyDescent="0.25">
      <c r="A77" s="108" t="s">
        <v>570</v>
      </c>
      <c r="B77" s="3" t="s">
        <v>253</v>
      </c>
      <c r="C77" s="11" t="s">
        <v>247</v>
      </c>
      <c r="D77" s="11">
        <f>D63*'Базовые параметры'!D15*'Исходные данные'!D14*'Базовые параметры'!D6</f>
        <v>2.5479999999999996</v>
      </c>
      <c r="E77" s="19">
        <f>D77</f>
        <v>2.5479999999999996</v>
      </c>
      <c r="F77" s="23">
        <v>0</v>
      </c>
      <c r="G77" s="23">
        <v>0</v>
      </c>
      <c r="H77" s="23">
        <v>0</v>
      </c>
      <c r="I77" s="23">
        <v>0</v>
      </c>
      <c r="J77" s="23">
        <v>0</v>
      </c>
      <c r="K77" s="23">
        <v>0</v>
      </c>
      <c r="L77" s="23">
        <v>0</v>
      </c>
      <c r="M77" s="23">
        <v>0</v>
      </c>
      <c r="N77" s="23">
        <v>0</v>
      </c>
    </row>
    <row r="78" spans="1:14" s="24" customFormat="1" ht="54" x14ac:dyDescent="0.25">
      <c r="A78" s="108" t="s">
        <v>263</v>
      </c>
      <c r="B78" s="3" t="s">
        <v>253</v>
      </c>
      <c r="C78" s="11" t="s">
        <v>247</v>
      </c>
      <c r="D78" s="11">
        <f>D64*'Базовые параметры'!D15*'Исходные данные'!D14*'Базовые параметры'!D6</f>
        <v>0.7280000000000002</v>
      </c>
      <c r="E78" s="19">
        <f>D78</f>
        <v>0.7280000000000002</v>
      </c>
      <c r="F78" s="23">
        <v>0</v>
      </c>
      <c r="G78" s="23">
        <v>0</v>
      </c>
      <c r="H78" s="23">
        <v>0</v>
      </c>
      <c r="I78" s="23">
        <v>0</v>
      </c>
      <c r="J78" s="23">
        <v>0</v>
      </c>
      <c r="K78" s="23">
        <v>0</v>
      </c>
      <c r="L78" s="23">
        <v>0</v>
      </c>
      <c r="M78" s="23">
        <v>0</v>
      </c>
      <c r="N78" s="23">
        <v>0</v>
      </c>
    </row>
    <row r="79" spans="1:14" s="24" customFormat="1" ht="54" x14ac:dyDescent="0.25">
      <c r="A79" s="108" t="str">
        <f>'Базовые параметры'!A16</f>
        <v>Предоставление собственникам жилого помещения другого жилого помещения (по площади расселяемого жилого помещения), если не предусмотрено предоставление равнозначного жилого помещения</v>
      </c>
      <c r="B79" s="3" t="s">
        <v>253</v>
      </c>
      <c r="C79" s="11" t="s">
        <v>247</v>
      </c>
      <c r="D79" s="181">
        <f>SUM(D80:D82)</f>
        <v>0</v>
      </c>
      <c r="E79" s="181">
        <f t="shared" ref="E79:N79" si="56">SUM(E80:E82)</f>
        <v>0</v>
      </c>
      <c r="F79" s="181">
        <f t="shared" si="56"/>
        <v>0</v>
      </c>
      <c r="G79" s="181">
        <f t="shared" si="56"/>
        <v>0</v>
      </c>
      <c r="H79" s="181">
        <f t="shared" si="56"/>
        <v>0</v>
      </c>
      <c r="I79" s="181">
        <f t="shared" si="56"/>
        <v>0</v>
      </c>
      <c r="J79" s="181">
        <f t="shared" si="56"/>
        <v>0</v>
      </c>
      <c r="K79" s="181">
        <f t="shared" si="56"/>
        <v>0</v>
      </c>
      <c r="L79" s="181">
        <f t="shared" si="56"/>
        <v>0</v>
      </c>
      <c r="M79" s="181">
        <f t="shared" si="56"/>
        <v>0</v>
      </c>
      <c r="N79" s="181">
        <f t="shared" si="56"/>
        <v>0</v>
      </c>
    </row>
    <row r="80" spans="1:14" s="24" customFormat="1" ht="54" x14ac:dyDescent="0.25">
      <c r="A80" s="108" t="s">
        <v>567</v>
      </c>
      <c r="B80" s="3" t="s">
        <v>253</v>
      </c>
      <c r="C80" s="11" t="s">
        <v>247</v>
      </c>
      <c r="D80" s="181">
        <f>'Базовые параметры'!D16*'Исходные данные'!D15*D62</f>
        <v>0</v>
      </c>
      <c r="E80" s="181">
        <v>0</v>
      </c>
      <c r="F80" s="181">
        <v>0</v>
      </c>
      <c r="G80" s="181">
        <v>0</v>
      </c>
      <c r="H80" s="181">
        <f>D80</f>
        <v>0</v>
      </c>
      <c r="I80" s="118">
        <v>0</v>
      </c>
      <c r="J80" s="118">
        <v>0</v>
      </c>
      <c r="K80" s="118">
        <v>0</v>
      </c>
      <c r="L80" s="118">
        <v>0</v>
      </c>
      <c r="M80" s="118">
        <v>0</v>
      </c>
      <c r="N80" s="118">
        <v>0</v>
      </c>
    </row>
    <row r="81" spans="1:14" s="24" customFormat="1" ht="54" x14ac:dyDescent="0.25">
      <c r="A81" s="108" t="s">
        <v>570</v>
      </c>
      <c r="B81" s="3" t="s">
        <v>253</v>
      </c>
      <c r="C81" s="11" t="s">
        <v>247</v>
      </c>
      <c r="D81" s="181">
        <f>'Базовые параметры'!D16*'Исходные данные'!D15*D63</f>
        <v>0</v>
      </c>
      <c r="E81" s="181">
        <f>D81</f>
        <v>0</v>
      </c>
      <c r="F81" s="181">
        <v>0</v>
      </c>
      <c r="G81" s="181">
        <v>0</v>
      </c>
      <c r="H81" s="181">
        <v>0</v>
      </c>
      <c r="I81" s="181">
        <v>0</v>
      </c>
      <c r="J81" s="181">
        <v>0</v>
      </c>
      <c r="K81" s="181">
        <v>0</v>
      </c>
      <c r="L81" s="181">
        <v>0</v>
      </c>
      <c r="M81" s="181">
        <v>0</v>
      </c>
      <c r="N81" s="181">
        <v>0</v>
      </c>
    </row>
    <row r="82" spans="1:14" s="24" customFormat="1" ht="54" x14ac:dyDescent="0.25">
      <c r="A82" s="108" t="s">
        <v>263</v>
      </c>
      <c r="B82" s="3" t="s">
        <v>253</v>
      </c>
      <c r="C82" s="11" t="s">
        <v>247</v>
      </c>
      <c r="D82" s="181">
        <f>'Базовые параметры'!D16*'Исходные данные'!D15*D64</f>
        <v>0</v>
      </c>
      <c r="E82" s="181">
        <f>D82</f>
        <v>0</v>
      </c>
      <c r="F82" s="181">
        <v>0</v>
      </c>
      <c r="G82" s="181">
        <v>0</v>
      </c>
      <c r="H82" s="181">
        <v>0</v>
      </c>
      <c r="I82" s="181">
        <v>0</v>
      </c>
      <c r="J82" s="181">
        <v>0</v>
      </c>
      <c r="K82" s="181">
        <v>0</v>
      </c>
      <c r="L82" s="181">
        <v>0</v>
      </c>
      <c r="M82" s="181">
        <v>0</v>
      </c>
      <c r="N82" s="181">
        <v>0</v>
      </c>
    </row>
    <row r="83" spans="1:14" s="24" customFormat="1" ht="54" x14ac:dyDescent="0.25">
      <c r="A83" s="108" t="str">
        <f>'Базовые параметры'!A17</f>
        <v xml:space="preserve">Предоставление собственникам жилого помещения равноценного возмещения, определенного в соответствии с ч. 7 ст. 32 ЖК РФ </v>
      </c>
      <c r="B83" s="3" t="s">
        <v>253</v>
      </c>
      <c r="C83" s="11" t="s">
        <v>247</v>
      </c>
      <c r="D83" s="181">
        <f>'Базовые параметры'!D17*'Исходные данные'!D15</f>
        <v>0.8</v>
      </c>
      <c r="E83" s="181">
        <f>D83</f>
        <v>0.8</v>
      </c>
      <c r="F83" s="181">
        <v>0</v>
      </c>
      <c r="G83" s="181">
        <v>0</v>
      </c>
      <c r="H83" s="181">
        <v>0</v>
      </c>
      <c r="I83" s="181">
        <v>0</v>
      </c>
      <c r="J83" s="181">
        <v>0</v>
      </c>
      <c r="K83" s="181">
        <v>0</v>
      </c>
      <c r="L83" s="181">
        <v>0</v>
      </c>
      <c r="M83" s="181">
        <v>0</v>
      </c>
      <c r="N83" s="181">
        <v>0</v>
      </c>
    </row>
    <row r="84" spans="1:14" s="24" customFormat="1" ht="54" x14ac:dyDescent="0.25">
      <c r="A84" s="108" t="str">
        <f>'Базовые параметры'!A18</f>
        <v>Предоставление нанимателям жилого помещения другого жилого помещения по договору найма жилого помещения в жилищном фонде социального использования (договор некоммерческого найма)</v>
      </c>
      <c r="B84" s="3" t="s">
        <v>253</v>
      </c>
      <c r="C84" s="11" t="s">
        <v>247</v>
      </c>
      <c r="D84" s="116">
        <f>'Базовые параметры'!D18*'Исходные данные'!D15*'Базовые параметры'!$D$6</f>
        <v>5.2000000000000005E-2</v>
      </c>
      <c r="E84" s="116">
        <f>D84</f>
        <v>5.2000000000000005E-2</v>
      </c>
      <c r="F84" s="181">
        <v>0</v>
      </c>
      <c r="G84" s="181">
        <v>0</v>
      </c>
      <c r="H84" s="181">
        <v>0</v>
      </c>
      <c r="I84" s="118">
        <v>0</v>
      </c>
      <c r="J84" s="118">
        <v>0</v>
      </c>
      <c r="K84" s="118">
        <v>0</v>
      </c>
      <c r="L84" s="118">
        <v>0</v>
      </c>
      <c r="M84" s="118">
        <v>0</v>
      </c>
      <c r="N84" s="118">
        <v>0</v>
      </c>
    </row>
    <row r="85" spans="1:14" s="24" customFormat="1" ht="58.15" customHeight="1" x14ac:dyDescent="0.25">
      <c r="A85" s="108" t="str">
        <f>'Базовые параметры'!A19</f>
        <v xml:space="preserve">Предоставление нанимателям жилого помещения другого жилого помещения (по площади расселяемого жилого помещения) по договору социального найма или в собственность (по заявлению), если не предусмотрено предоставление равнозначного жилого помещения </v>
      </c>
      <c r="B85" s="3" t="s">
        <v>253</v>
      </c>
      <c r="C85" s="11" t="s">
        <v>247</v>
      </c>
      <c r="D85" s="181">
        <f>'Базовые параметры'!D19*'Исходные данные'!D15</f>
        <v>0.36</v>
      </c>
      <c r="E85" s="118">
        <f>D85</f>
        <v>0.36</v>
      </c>
      <c r="F85" s="118">
        <v>0</v>
      </c>
      <c r="G85" s="118">
        <v>0</v>
      </c>
      <c r="H85" s="118">
        <v>0</v>
      </c>
      <c r="I85" s="118">
        <v>0</v>
      </c>
      <c r="J85" s="118">
        <v>0</v>
      </c>
      <c r="K85" s="118">
        <v>0</v>
      </c>
      <c r="L85" s="118">
        <v>0</v>
      </c>
      <c r="M85" s="118">
        <v>0</v>
      </c>
      <c r="N85" s="118">
        <v>0</v>
      </c>
    </row>
    <row r="86" spans="1:14" s="24" customFormat="1" ht="58.15" customHeight="1" x14ac:dyDescent="0.25">
      <c r="A86" s="108" t="str">
        <f>'Базовые параметры'!A20</f>
        <v xml:space="preserve">Предоставление нанимателям жилого помещения другого равнозначного жилого помещения (если предусмотрено предоставление равнозначного жилого помещения) </v>
      </c>
      <c r="B86" s="3" t="s">
        <v>253</v>
      </c>
      <c r="C86" s="11" t="s">
        <v>247</v>
      </c>
      <c r="D86" s="181">
        <f>'Базовые параметры'!D20*'Исходные данные'!D15*'Базовые параметры'!D6</f>
        <v>0</v>
      </c>
      <c r="E86" s="118">
        <v>0</v>
      </c>
      <c r="F86" s="118">
        <v>0</v>
      </c>
      <c r="G86" s="118">
        <v>0</v>
      </c>
      <c r="H86" s="118">
        <f>D86</f>
        <v>0</v>
      </c>
      <c r="I86" s="118">
        <v>0</v>
      </c>
      <c r="J86" s="118">
        <v>0</v>
      </c>
      <c r="K86" s="118">
        <v>0</v>
      </c>
      <c r="L86" s="118">
        <v>0</v>
      </c>
      <c r="M86" s="118">
        <v>0</v>
      </c>
      <c r="N86" s="118">
        <v>0</v>
      </c>
    </row>
    <row r="87" spans="1:14" s="24" customFormat="1" ht="54" x14ac:dyDescent="0.25">
      <c r="A87" s="107" t="s">
        <v>524</v>
      </c>
      <c r="B87" s="3" t="s">
        <v>253</v>
      </c>
      <c r="C87" s="11" t="s">
        <v>247</v>
      </c>
      <c r="D87" s="181">
        <f>SUM(D88:D89)</f>
        <v>2</v>
      </c>
      <c r="E87" s="118">
        <f>SUM(E88:E89)</f>
        <v>2</v>
      </c>
      <c r="F87" s="118">
        <f>SUM(F88:F89)</f>
        <v>0</v>
      </c>
      <c r="G87" s="118">
        <f t="shared" ref="G87:L87" si="57">SUM(G88:G89)</f>
        <v>0</v>
      </c>
      <c r="H87" s="118">
        <f t="shared" si="57"/>
        <v>0</v>
      </c>
      <c r="I87" s="118">
        <f t="shared" si="57"/>
        <v>0</v>
      </c>
      <c r="J87" s="118">
        <f t="shared" si="57"/>
        <v>0</v>
      </c>
      <c r="K87" s="118">
        <f t="shared" si="57"/>
        <v>0</v>
      </c>
      <c r="L87" s="118">
        <f t="shared" si="57"/>
        <v>0</v>
      </c>
      <c r="M87" s="118">
        <f t="shared" ref="M87" si="58">SUM(M88:M89)</f>
        <v>0</v>
      </c>
      <c r="N87" s="118">
        <f t="shared" ref="N87" si="59">SUM(N88:N89)</f>
        <v>0</v>
      </c>
    </row>
    <row r="88" spans="1:14" s="24" customFormat="1" ht="54" x14ac:dyDescent="0.25">
      <c r="A88" s="108" t="str">
        <f>'Базовые параметры'!A22</f>
        <v>Предоставление собственникам дома возмещения в размере рыночной стоимости дома и земельного участка, а также убытков</v>
      </c>
      <c r="B88" s="3" t="s">
        <v>253</v>
      </c>
      <c r="C88" s="11" t="s">
        <v>247</v>
      </c>
      <c r="D88" s="181">
        <f>'Базовые параметры'!D22*'Исходные данные'!D16</f>
        <v>2</v>
      </c>
      <c r="E88" s="181">
        <f>D88</f>
        <v>2</v>
      </c>
      <c r="F88" s="181">
        <v>0</v>
      </c>
      <c r="G88" s="181">
        <v>0</v>
      </c>
      <c r="H88" s="181">
        <v>0</v>
      </c>
      <c r="I88" s="181">
        <v>0</v>
      </c>
      <c r="J88" s="181">
        <v>0</v>
      </c>
      <c r="K88" s="181">
        <v>0</v>
      </c>
      <c r="L88" s="181">
        <v>0</v>
      </c>
      <c r="M88" s="181">
        <v>0</v>
      </c>
      <c r="N88" s="181">
        <v>0</v>
      </c>
    </row>
    <row r="89" spans="1:14" s="24" customFormat="1" ht="54" x14ac:dyDescent="0.25">
      <c r="A89" s="108" t="str">
        <f>'Базовые параметры'!_ftnref1</f>
        <v>Предоставление иного земельного участка или жилого помещения</v>
      </c>
      <c r="B89" s="3" t="s">
        <v>253</v>
      </c>
      <c r="C89" s="11" t="s">
        <v>247</v>
      </c>
      <c r="D89" s="181">
        <f>'Базовые параметры'!D23*'Исходные данные'!D16</f>
        <v>0</v>
      </c>
      <c r="E89" s="181">
        <f>D89</f>
        <v>0</v>
      </c>
      <c r="F89" s="181">
        <v>0</v>
      </c>
      <c r="G89" s="181">
        <v>0</v>
      </c>
      <c r="H89" s="181">
        <v>0</v>
      </c>
      <c r="I89" s="181">
        <v>0</v>
      </c>
      <c r="J89" s="181">
        <v>0</v>
      </c>
      <c r="K89" s="181">
        <v>0</v>
      </c>
      <c r="L89" s="181">
        <v>0</v>
      </c>
      <c r="M89" s="181">
        <v>0</v>
      </c>
      <c r="N89" s="181">
        <v>0</v>
      </c>
    </row>
    <row r="90" spans="1:14" ht="82.9" customHeight="1" x14ac:dyDescent="0.25">
      <c r="A90" s="427" t="s">
        <v>473</v>
      </c>
      <c r="B90" s="102" t="s">
        <v>253</v>
      </c>
      <c r="C90" s="8" t="s">
        <v>20</v>
      </c>
      <c r="D90" s="117">
        <f>SUM(E90:N90)</f>
        <v>495.41862399999997</v>
      </c>
      <c r="E90" s="325">
        <f>(E68+E77+E81+E70+E71+E84+E85+E86)*(E50+E49+E51+E53+E58+E55)+(E69+(E78+E82))*E41+(E72+E83)*E44</f>
        <v>495.41862399999997</v>
      </c>
      <c r="F90" s="325">
        <f t="shared" ref="F90:N90" si="60">(F68+F77+F81+F70+F71+F84+F85+F86)*(F50+F49+F51+F53+F58+F55)+(F69+(F78+F82))*F41+(F72+F83)*F44</f>
        <v>0</v>
      </c>
      <c r="G90" s="325">
        <f t="shared" si="60"/>
        <v>0</v>
      </c>
      <c r="H90" s="325">
        <f t="shared" si="60"/>
        <v>0</v>
      </c>
      <c r="I90" s="325">
        <f t="shared" si="60"/>
        <v>0</v>
      </c>
      <c r="J90" s="325">
        <f t="shared" si="60"/>
        <v>0</v>
      </c>
      <c r="K90" s="325">
        <f t="shared" si="60"/>
        <v>0</v>
      </c>
      <c r="L90" s="325">
        <f t="shared" si="60"/>
        <v>0</v>
      </c>
      <c r="M90" s="325">
        <f t="shared" si="60"/>
        <v>0</v>
      </c>
      <c r="N90" s="325">
        <f t="shared" si="60"/>
        <v>0</v>
      </c>
    </row>
    <row r="91" spans="1:14" ht="40.9" customHeight="1" x14ac:dyDescent="0.25">
      <c r="A91" s="427" t="s">
        <v>276</v>
      </c>
      <c r="B91" s="102" t="s">
        <v>253</v>
      </c>
      <c r="C91" s="8" t="s">
        <v>20</v>
      </c>
      <c r="D91" s="117">
        <f>SUM(E91:N91)</f>
        <v>299.52</v>
      </c>
      <c r="E91" s="117">
        <f t="shared" ref="E91:N91" si="61">E87*E42</f>
        <v>299.52</v>
      </c>
      <c r="F91" s="117">
        <f t="shared" si="61"/>
        <v>0</v>
      </c>
      <c r="G91" s="117">
        <f t="shared" si="61"/>
        <v>0</v>
      </c>
      <c r="H91" s="117">
        <f t="shared" si="61"/>
        <v>0</v>
      </c>
      <c r="I91" s="117">
        <f t="shared" si="61"/>
        <v>0</v>
      </c>
      <c r="J91" s="117">
        <f t="shared" si="61"/>
        <v>0</v>
      </c>
      <c r="K91" s="117">
        <f t="shared" si="61"/>
        <v>0</v>
      </c>
      <c r="L91" s="117">
        <f t="shared" si="61"/>
        <v>0</v>
      </c>
      <c r="M91" s="117">
        <f t="shared" si="61"/>
        <v>0</v>
      </c>
      <c r="N91" s="117">
        <f t="shared" si="61"/>
        <v>0</v>
      </c>
    </row>
    <row r="92" spans="1:14" ht="19.149999999999999" customHeight="1" x14ac:dyDescent="0.25">
      <c r="A92" s="427" t="s">
        <v>571</v>
      </c>
      <c r="B92" s="102" t="s">
        <v>253</v>
      </c>
      <c r="C92" s="8" t="s">
        <v>20</v>
      </c>
      <c r="D92" s="117">
        <f>SUM(E92:N92)</f>
        <v>29.952000000000002</v>
      </c>
      <c r="E92" s="117">
        <f t="shared" ref="E92:L92" si="62">E10*E47</f>
        <v>29.952000000000002</v>
      </c>
      <c r="F92" s="117">
        <f t="shared" si="62"/>
        <v>0</v>
      </c>
      <c r="G92" s="117">
        <f t="shared" si="62"/>
        <v>0</v>
      </c>
      <c r="H92" s="117">
        <f t="shared" si="62"/>
        <v>0</v>
      </c>
      <c r="I92" s="117">
        <f t="shared" si="62"/>
        <v>0</v>
      </c>
      <c r="J92" s="117">
        <f t="shared" si="62"/>
        <v>0</v>
      </c>
      <c r="K92" s="117">
        <f t="shared" si="62"/>
        <v>0</v>
      </c>
      <c r="L92" s="117">
        <f t="shared" si="62"/>
        <v>0</v>
      </c>
      <c r="M92" s="117">
        <v>0</v>
      </c>
      <c r="N92" s="117">
        <f>N10*N47</f>
        <v>0</v>
      </c>
    </row>
    <row r="93" spans="1:14" ht="36" x14ac:dyDescent="0.25">
      <c r="A93" s="427" t="s">
        <v>476</v>
      </c>
      <c r="B93" s="3"/>
      <c r="C93" s="8"/>
      <c r="D93" s="8"/>
      <c r="E93" s="4"/>
      <c r="F93" s="3"/>
      <c r="G93" s="3"/>
      <c r="H93" s="3"/>
      <c r="I93" s="3"/>
      <c r="J93" s="3"/>
      <c r="K93" s="3"/>
      <c r="L93" s="3"/>
      <c r="M93" s="3"/>
      <c r="N93" s="3"/>
    </row>
    <row r="94" spans="1:14" ht="126" x14ac:dyDescent="0.25">
      <c r="A94" s="105" t="s">
        <v>597</v>
      </c>
      <c r="B94" s="104" t="s">
        <v>507</v>
      </c>
      <c r="C94" s="110" t="s">
        <v>271</v>
      </c>
      <c r="D94" s="106">
        <v>0.25</v>
      </c>
      <c r="E94" s="4"/>
      <c r="F94" s="3"/>
      <c r="G94" s="3"/>
      <c r="H94" s="3"/>
      <c r="I94" s="3"/>
      <c r="J94" s="3"/>
      <c r="K94" s="3"/>
      <c r="L94" s="3"/>
      <c r="M94" s="3"/>
      <c r="N94" s="3"/>
    </row>
    <row r="95" spans="1:14" x14ac:dyDescent="0.25">
      <c r="A95" s="10" t="s">
        <v>508</v>
      </c>
      <c r="B95" s="342" t="s">
        <v>282</v>
      </c>
      <c r="C95" s="11" t="s">
        <v>9</v>
      </c>
      <c r="D95" s="331">
        <f>'Исходные данные'!D71</f>
        <v>69.3</v>
      </c>
      <c r="E95" s="332">
        <f t="shared" ref="E95:N95" si="63">D95*E32</f>
        <v>72.072000000000003</v>
      </c>
      <c r="F95" s="332">
        <f t="shared" si="63"/>
        <v>74.954880000000003</v>
      </c>
      <c r="G95" s="332">
        <f t="shared" si="63"/>
        <v>77.953075200000001</v>
      </c>
      <c r="H95" s="332">
        <f t="shared" si="63"/>
        <v>81.071198207999998</v>
      </c>
      <c r="I95" s="332">
        <f t="shared" si="63"/>
        <v>84.314046136320002</v>
      </c>
      <c r="J95" s="332">
        <f t="shared" si="63"/>
        <v>87.686607981772809</v>
      </c>
      <c r="K95" s="332">
        <f t="shared" si="63"/>
        <v>91.194072301043718</v>
      </c>
      <c r="L95" s="332">
        <f t="shared" si="63"/>
        <v>94.841835193085473</v>
      </c>
      <c r="M95" s="332">
        <f t="shared" si="63"/>
        <v>98.63550860080889</v>
      </c>
      <c r="N95" s="332">
        <f t="shared" si="63"/>
        <v>102.58092894484125</v>
      </c>
    </row>
    <row r="96" spans="1:14" x14ac:dyDescent="0.25">
      <c r="A96" s="10" t="s">
        <v>272</v>
      </c>
      <c r="B96" s="3" t="s">
        <v>253</v>
      </c>
      <c r="C96" s="8" t="s">
        <v>20</v>
      </c>
      <c r="D96" s="331">
        <f>SUM(E96:N96)</f>
        <v>291.67263949823996</v>
      </c>
      <c r="E96" s="18">
        <f t="shared" ref="E96:N96" si="64">E65*E95</f>
        <v>268.97270399999996</v>
      </c>
      <c r="F96" s="18">
        <f t="shared" si="64"/>
        <v>0</v>
      </c>
      <c r="G96" s="18">
        <f t="shared" si="64"/>
        <v>0</v>
      </c>
      <c r="H96" s="18">
        <f t="shared" si="64"/>
        <v>22.699935498239999</v>
      </c>
      <c r="I96" s="18">
        <f t="shared" si="64"/>
        <v>0</v>
      </c>
      <c r="J96" s="18">
        <f t="shared" si="64"/>
        <v>0</v>
      </c>
      <c r="K96" s="18">
        <f t="shared" si="64"/>
        <v>0</v>
      </c>
      <c r="L96" s="18">
        <f t="shared" si="64"/>
        <v>0</v>
      </c>
      <c r="M96" s="18">
        <f t="shared" si="64"/>
        <v>0</v>
      </c>
      <c r="N96" s="18">
        <f t="shared" si="64"/>
        <v>0</v>
      </c>
    </row>
    <row r="97" spans="1:14" x14ac:dyDescent="0.25">
      <c r="A97" s="10" t="s">
        <v>586</v>
      </c>
      <c r="B97" s="3" t="s">
        <v>253</v>
      </c>
      <c r="C97" s="8" t="s">
        <v>20</v>
      </c>
      <c r="D97" s="157">
        <f>SUM(E97:N97)</f>
        <v>72.91815987455999</v>
      </c>
      <c r="E97" s="157">
        <f>E96*$D$94</f>
        <v>67.243175999999991</v>
      </c>
      <c r="F97" s="157">
        <f t="shared" ref="F97:N97" si="65">F96*$D$94</f>
        <v>0</v>
      </c>
      <c r="G97" s="157">
        <f t="shared" si="65"/>
        <v>0</v>
      </c>
      <c r="H97" s="157">
        <f t="shared" si="65"/>
        <v>5.6749838745599996</v>
      </c>
      <c r="I97" s="157">
        <f t="shared" si="65"/>
        <v>0</v>
      </c>
      <c r="J97" s="157">
        <f t="shared" si="65"/>
        <v>0</v>
      </c>
      <c r="K97" s="157">
        <f t="shared" si="65"/>
        <v>0</v>
      </c>
      <c r="L97" s="157">
        <f t="shared" si="65"/>
        <v>0</v>
      </c>
      <c r="M97" s="157">
        <f t="shared" si="65"/>
        <v>0</v>
      </c>
      <c r="N97" s="157">
        <f t="shared" si="65"/>
        <v>0</v>
      </c>
    </row>
    <row r="98" spans="1:14" ht="36" x14ac:dyDescent="0.25">
      <c r="A98" s="120" t="s">
        <v>487</v>
      </c>
      <c r="B98" s="3" t="s">
        <v>253</v>
      </c>
      <c r="C98" s="8" t="s">
        <v>20</v>
      </c>
      <c r="D98" s="157">
        <f>SUM(E98:N98)</f>
        <v>14.428800000000003</v>
      </c>
      <c r="E98" s="41">
        <f t="shared" ref="E98:N98" si="66">E73*(E95-E44)</f>
        <v>14.428800000000003</v>
      </c>
      <c r="F98" s="41">
        <f t="shared" si="66"/>
        <v>0</v>
      </c>
      <c r="G98" s="41">
        <f t="shared" si="66"/>
        <v>0</v>
      </c>
      <c r="H98" s="41">
        <f t="shared" si="66"/>
        <v>0</v>
      </c>
      <c r="I98" s="41">
        <f t="shared" si="66"/>
        <v>0</v>
      </c>
      <c r="J98" s="41">
        <f t="shared" si="66"/>
        <v>0</v>
      </c>
      <c r="K98" s="41">
        <f t="shared" si="66"/>
        <v>0</v>
      </c>
      <c r="L98" s="41">
        <f t="shared" si="66"/>
        <v>0</v>
      </c>
      <c r="M98" s="41">
        <f t="shared" si="66"/>
        <v>0</v>
      </c>
      <c r="N98" s="41">
        <f t="shared" si="66"/>
        <v>0</v>
      </c>
    </row>
    <row r="99" spans="1:14" ht="70.900000000000006" customHeight="1" x14ac:dyDescent="0.2">
      <c r="A99" s="105" t="s">
        <v>488</v>
      </c>
      <c r="B99" s="104" t="s">
        <v>507</v>
      </c>
      <c r="C99" s="110" t="s">
        <v>20</v>
      </c>
      <c r="D99" s="110">
        <v>0</v>
      </c>
      <c r="E99" s="165">
        <f>D99</f>
        <v>0</v>
      </c>
      <c r="F99" s="165">
        <f t="shared" ref="F99:N99" si="67">E99</f>
        <v>0</v>
      </c>
      <c r="G99" s="165">
        <f t="shared" si="67"/>
        <v>0</v>
      </c>
      <c r="H99" s="165">
        <f t="shared" si="67"/>
        <v>0</v>
      </c>
      <c r="I99" s="165">
        <f t="shared" si="67"/>
        <v>0</v>
      </c>
      <c r="J99" s="165">
        <f t="shared" si="67"/>
        <v>0</v>
      </c>
      <c r="K99" s="165">
        <f t="shared" si="67"/>
        <v>0</v>
      </c>
      <c r="L99" s="165">
        <f t="shared" si="67"/>
        <v>0</v>
      </c>
      <c r="M99" s="165">
        <f t="shared" si="67"/>
        <v>0</v>
      </c>
      <c r="N99" s="165">
        <f t="shared" si="67"/>
        <v>0</v>
      </c>
    </row>
    <row r="100" spans="1:14" ht="20.25" x14ac:dyDescent="0.3">
      <c r="A100" s="392" t="s">
        <v>12</v>
      </c>
      <c r="B100" s="393"/>
      <c r="C100" s="393"/>
      <c r="D100" s="394"/>
      <c r="E100" s="394"/>
      <c r="F100" s="394"/>
      <c r="G100" s="394"/>
      <c r="H100" s="394"/>
      <c r="I100" s="394"/>
      <c r="J100" s="394"/>
      <c r="K100" s="394"/>
      <c r="L100" s="394"/>
      <c r="M100" s="394"/>
      <c r="N100" s="394"/>
    </row>
    <row r="101" spans="1:14" x14ac:dyDescent="0.25">
      <c r="A101" s="105" t="s">
        <v>412</v>
      </c>
      <c r="B101" s="105"/>
      <c r="C101" s="178"/>
      <c r="D101" s="105"/>
      <c r="E101" s="179"/>
      <c r="F101" s="177"/>
      <c r="G101" s="177"/>
      <c r="H101" s="177"/>
      <c r="I101" s="177"/>
      <c r="J101" s="177"/>
      <c r="K101" s="177"/>
      <c r="L101" s="177"/>
      <c r="M101" s="177"/>
      <c r="N101" s="177"/>
    </row>
    <row r="102" spans="1:14" ht="126" x14ac:dyDescent="0.25">
      <c r="A102" s="122" t="s">
        <v>15</v>
      </c>
      <c r="B102" s="104" t="s">
        <v>507</v>
      </c>
      <c r="C102" s="110" t="s">
        <v>413</v>
      </c>
      <c r="D102" s="395">
        <v>0</v>
      </c>
      <c r="E102" s="179"/>
      <c r="F102" s="177"/>
      <c r="G102" s="177"/>
      <c r="H102" s="177"/>
      <c r="I102" s="177"/>
      <c r="J102" s="177"/>
      <c r="K102" s="177"/>
      <c r="L102" s="177"/>
      <c r="M102" s="177"/>
      <c r="N102" s="177"/>
    </row>
    <row r="103" spans="1:14" ht="126" x14ac:dyDescent="0.25">
      <c r="A103" s="122" t="s">
        <v>16</v>
      </c>
      <c r="B103" s="104" t="s">
        <v>507</v>
      </c>
      <c r="C103" s="110" t="s">
        <v>414</v>
      </c>
      <c r="D103" s="395">
        <v>0</v>
      </c>
      <c r="E103" s="179"/>
      <c r="F103" s="177"/>
      <c r="G103" s="177"/>
      <c r="H103" s="177"/>
      <c r="I103" s="177"/>
      <c r="J103" s="177"/>
      <c r="K103" s="177"/>
      <c r="L103" s="177"/>
      <c r="M103" s="177"/>
      <c r="N103" s="177"/>
    </row>
    <row r="104" spans="1:14" ht="57" customHeight="1" x14ac:dyDescent="0.25">
      <c r="A104" s="122" t="s">
        <v>17</v>
      </c>
      <c r="B104" s="104" t="s">
        <v>507</v>
      </c>
      <c r="C104" s="110" t="s">
        <v>415</v>
      </c>
      <c r="D104" s="395">
        <v>0</v>
      </c>
      <c r="E104" s="179"/>
      <c r="F104" s="177"/>
      <c r="G104" s="177"/>
      <c r="H104" s="177"/>
      <c r="I104" s="177"/>
      <c r="J104" s="177"/>
      <c r="K104" s="177"/>
      <c r="L104" s="177"/>
      <c r="M104" s="177"/>
      <c r="N104" s="177"/>
    </row>
    <row r="105" spans="1:14" x14ac:dyDescent="0.25">
      <c r="A105" s="10" t="s">
        <v>13</v>
      </c>
      <c r="B105" s="4" t="s">
        <v>19</v>
      </c>
      <c r="C105" s="4" t="s">
        <v>20</v>
      </c>
      <c r="D105" s="18">
        <f>SUM(E105:N105)</f>
        <v>8717.9660053379448</v>
      </c>
      <c r="E105" s="18">
        <f>SUM(E106:E116)+E117+E119</f>
        <v>980.81163519999996</v>
      </c>
      <c r="F105" s="18">
        <f>SUM(F106:F116)+F117+F119</f>
        <v>279.19238268618693</v>
      </c>
      <c r="G105" s="18">
        <f t="shared" ref="G105:N105" si="68">SUM(G106:G116)+G117+G119</f>
        <v>582.11928919073762</v>
      </c>
      <c r="H105" s="18">
        <f t="shared" si="68"/>
        <v>1097.5620714002027</v>
      </c>
      <c r="I105" s="18">
        <f t="shared" si="68"/>
        <v>1110.0163348369579</v>
      </c>
      <c r="J105" s="18">
        <f t="shared" si="68"/>
        <v>1154.2600641020852</v>
      </c>
      <c r="K105" s="18">
        <f t="shared" si="68"/>
        <v>1165.0140051325268</v>
      </c>
      <c r="L105" s="18">
        <f t="shared" si="68"/>
        <v>882.65157911681956</v>
      </c>
      <c r="M105" s="18">
        <f t="shared" si="68"/>
        <v>573.88456185230814</v>
      </c>
      <c r="N105" s="18">
        <f t="shared" si="68"/>
        <v>892.45408182011909</v>
      </c>
    </row>
    <row r="106" spans="1:14" x14ac:dyDescent="0.25">
      <c r="A106" s="10" t="s">
        <v>31</v>
      </c>
      <c r="B106" s="4" t="s">
        <v>19</v>
      </c>
      <c r="C106" s="4" t="s">
        <v>20</v>
      </c>
      <c r="D106" s="18">
        <f t="shared" ref="D106:D117" si="69">SUM(E106:N106)</f>
        <v>16.459571920896003</v>
      </c>
      <c r="E106" s="18">
        <f t="shared" ref="E106:N106" si="70">E60*(E4+E6+E8+E10+E12)</f>
        <v>13.977600000000002</v>
      </c>
      <c r="F106" s="18">
        <f t="shared" si="70"/>
        <v>0</v>
      </c>
      <c r="G106" s="18">
        <f t="shared" si="70"/>
        <v>0</v>
      </c>
      <c r="H106" s="18">
        <f t="shared" si="70"/>
        <v>0</v>
      </c>
      <c r="I106" s="18">
        <f t="shared" si="70"/>
        <v>2.4819719208959992</v>
      </c>
      <c r="J106" s="18">
        <f t="shared" si="70"/>
        <v>0</v>
      </c>
      <c r="K106" s="18">
        <f t="shared" si="70"/>
        <v>0</v>
      </c>
      <c r="L106" s="18">
        <f t="shared" si="70"/>
        <v>0</v>
      </c>
      <c r="M106" s="18">
        <f t="shared" si="70"/>
        <v>0</v>
      </c>
      <c r="N106" s="18">
        <f t="shared" si="70"/>
        <v>0</v>
      </c>
    </row>
    <row r="107" spans="1:14" x14ac:dyDescent="0.25">
      <c r="A107" s="3" t="s">
        <v>14</v>
      </c>
      <c r="B107" s="4" t="s">
        <v>19</v>
      </c>
      <c r="C107" s="4" t="s">
        <v>20</v>
      </c>
      <c r="D107" s="18">
        <f t="shared" si="69"/>
        <v>4221.4731773366539</v>
      </c>
      <c r="E107" s="119">
        <v>0</v>
      </c>
      <c r="F107" s="18">
        <f>$H$18*H50/3</f>
        <v>212.39952015360004</v>
      </c>
      <c r="G107" s="18">
        <f>($H$18+$I$18)*I50/3</f>
        <v>441.79100191948805</v>
      </c>
      <c r="H107" s="18">
        <f>($H$18+$I$18+$J$18)*J50/3</f>
        <v>689.19396299440132</v>
      </c>
      <c r="I107" s="18">
        <f>($J$18+$I$18+$K$18)*J50/3</f>
        <v>689.19396299440132</v>
      </c>
      <c r="J107" s="18">
        <f>($J$18+$K$18+$L$18)*K50/3</f>
        <v>716.76172151417757</v>
      </c>
      <c r="K107" s="18">
        <f>($K$18+$M$18+$L$18)*K50/3</f>
        <v>716.76172151417757</v>
      </c>
      <c r="L107" s="18">
        <f>($L$18+$M$18)*L50/3</f>
        <v>496.95479358316311</v>
      </c>
      <c r="M107" s="18">
        <f>M18*M50/3</f>
        <v>258.41649266324481</v>
      </c>
      <c r="N107" s="18">
        <f>N18*N50</f>
        <v>0</v>
      </c>
    </row>
    <row r="108" spans="1:14" x14ac:dyDescent="0.25">
      <c r="A108" s="3" t="s">
        <v>275</v>
      </c>
      <c r="B108" s="4" t="s">
        <v>19</v>
      </c>
      <c r="C108" s="4" t="s">
        <v>20</v>
      </c>
      <c r="D108" s="18">
        <f t="shared" si="69"/>
        <v>744.96585482411547</v>
      </c>
      <c r="E108" s="119">
        <f>E20*E18</f>
        <v>0</v>
      </c>
      <c r="F108" s="119">
        <f>F107*($D$20/$D$18)</f>
        <v>37.482268262400012</v>
      </c>
      <c r="G108" s="119">
        <f t="shared" ref="G108:N108" si="71">G107*($D$20/$D$18)</f>
        <v>77.96311798579201</v>
      </c>
      <c r="H108" s="119">
        <f t="shared" si="71"/>
        <v>121.62246405783553</v>
      </c>
      <c r="I108" s="119">
        <f t="shared" si="71"/>
        <v>121.62246405783553</v>
      </c>
      <c r="J108" s="119">
        <f t="shared" si="71"/>
        <v>126.48736262014899</v>
      </c>
      <c r="K108" s="119">
        <f t="shared" si="71"/>
        <v>126.48736262014899</v>
      </c>
      <c r="L108" s="119">
        <f t="shared" si="71"/>
        <v>87.697904749969965</v>
      </c>
      <c r="M108" s="119">
        <f t="shared" si="71"/>
        <v>45.60291046998438</v>
      </c>
      <c r="N108" s="119">
        <f t="shared" si="71"/>
        <v>0</v>
      </c>
    </row>
    <row r="109" spans="1:14" x14ac:dyDescent="0.25">
      <c r="A109" s="3" t="s">
        <v>277</v>
      </c>
      <c r="B109" s="4" t="s">
        <v>19</v>
      </c>
      <c r="C109" s="4" t="s">
        <v>20</v>
      </c>
      <c r="D109" s="18">
        <f>SUM(E109:N109)</f>
        <v>849.95626840011346</v>
      </c>
      <c r="E109" s="119">
        <f t="shared" ref="E109:N109" si="72">E59*E22</f>
        <v>0</v>
      </c>
      <c r="F109" s="119">
        <f t="shared" si="72"/>
        <v>0</v>
      </c>
      <c r="G109" s="119">
        <f t="shared" si="72"/>
        <v>0</v>
      </c>
      <c r="H109" s="119">
        <f t="shared" si="72"/>
        <v>0</v>
      </c>
      <c r="I109" s="119">
        <f t="shared" si="72"/>
        <v>0</v>
      </c>
      <c r="J109" s="119">
        <f t="shared" si="72"/>
        <v>0</v>
      </c>
      <c r="K109" s="119">
        <f t="shared" si="72"/>
        <v>0</v>
      </c>
      <c r="L109" s="119">
        <f t="shared" si="72"/>
        <v>0</v>
      </c>
      <c r="M109" s="119">
        <f t="shared" si="72"/>
        <v>0</v>
      </c>
      <c r="N109" s="119">
        <f t="shared" si="72"/>
        <v>849.95626840011346</v>
      </c>
    </row>
    <row r="110" spans="1:14" x14ac:dyDescent="0.25">
      <c r="A110" s="3" t="s">
        <v>15</v>
      </c>
      <c r="B110" s="4" t="s">
        <v>19</v>
      </c>
      <c r="C110" s="4" t="s">
        <v>20</v>
      </c>
      <c r="D110" s="18">
        <f>SUM(E110:N110)</f>
        <v>232.69617797128251</v>
      </c>
      <c r="E110" s="119">
        <f>(E55*'Градостроительная модель'!$E$42+E54*'Градостроительная модель'!$E$46)*(1-$D$102)*E18</f>
        <v>0</v>
      </c>
      <c r="F110" s="119">
        <f>(F55*'Градостроительная модель'!$E$42+F54*'Градостроительная модель'!$E$46)*(1-$D$102)*F18</f>
        <v>0</v>
      </c>
      <c r="G110" s="119">
        <f>(G55*'Градостроительная модель'!$E$42+G54*'Градостроительная модель'!$E$46)*(1-$D$102)*G18</f>
        <v>0</v>
      </c>
      <c r="H110" s="119">
        <f>(H55*'Градостроительная модель'!$E$42+H54*'Градостроительная модель'!$E$46)*(1-$D$102)*H18</f>
        <v>35.081718497279994</v>
      </c>
      <c r="I110" s="119">
        <f>(I55*'Градостроительная модель'!$E$42+I54*'Градостроительная модель'!$E$46)*(1-$D$102)*I18</f>
        <v>36.484987237171204</v>
      </c>
      <c r="J110" s="119">
        <f>(J55*'Градостроительная модель'!$E$42+J54*'Градостроительная модель'!$E$46)*(1-$D$102)*J18</f>
        <v>37.94438672665806</v>
      </c>
      <c r="K110" s="119">
        <f>(K55*'Градостроительная модель'!$E$42+K54*'Градостроительная модель'!$E$46)*(1-$D$102)*K18</f>
        <v>39.462162195724382</v>
      </c>
      <c r="L110" s="119">
        <f>(L55*'Градостроительная модель'!$E$42+L54*'Градостроительная модель'!$E$46)*(1-$D$102)*L18</f>
        <v>41.040648683553364</v>
      </c>
      <c r="M110" s="119">
        <f>(M55*'Градостроительная модель'!$E$42+M54*'Градостроительная модель'!$E$46)*(1-$D$102)*M18</f>
        <v>42.682274630895499</v>
      </c>
      <c r="N110" s="119">
        <f>(N55*'Градостроительная модель'!$E$42+N54*'Градостроительная модель'!$E$46)*(1-$D$102)*N18</f>
        <v>0</v>
      </c>
    </row>
    <row r="111" spans="1:14" x14ac:dyDescent="0.25">
      <c r="A111" s="3" t="s">
        <v>16</v>
      </c>
      <c r="B111" s="4" t="s">
        <v>19</v>
      </c>
      <c r="C111" s="4" t="s">
        <v>20</v>
      </c>
      <c r="D111" s="18">
        <f t="shared" si="69"/>
        <v>189.95606365002655</v>
      </c>
      <c r="E111" s="119">
        <f t="shared" ref="E111:N111" si="73">E53*(1-$D$103)*E18</f>
        <v>0</v>
      </c>
      <c r="F111" s="119">
        <f t="shared" si="73"/>
        <v>0</v>
      </c>
      <c r="G111" s="119">
        <f t="shared" si="73"/>
        <v>0</v>
      </c>
      <c r="H111" s="119">
        <f t="shared" si="73"/>
        <v>28.638137548800007</v>
      </c>
      <c r="I111" s="119">
        <f t="shared" si="73"/>
        <v>29.783663050752008</v>
      </c>
      <c r="J111" s="119">
        <f t="shared" si="73"/>
        <v>30.975009572782088</v>
      </c>
      <c r="K111" s="119">
        <f t="shared" si="73"/>
        <v>32.214009955693378</v>
      </c>
      <c r="L111" s="119">
        <f t="shared" si="73"/>
        <v>33.502570353921108</v>
      </c>
      <c r="M111" s="119">
        <f t="shared" si="73"/>
        <v>34.842673168077958</v>
      </c>
      <c r="N111" s="119">
        <f t="shared" si="73"/>
        <v>0</v>
      </c>
    </row>
    <row r="112" spans="1:14" x14ac:dyDescent="0.25">
      <c r="A112" s="3" t="s">
        <v>17</v>
      </c>
      <c r="B112" s="4" t="s">
        <v>19</v>
      </c>
      <c r="C112" s="4" t="s">
        <v>20</v>
      </c>
      <c r="D112" s="18">
        <f t="shared" si="69"/>
        <v>569.86819095007957</v>
      </c>
      <c r="E112" s="119">
        <f t="shared" ref="E112:N112" si="74">(E51+E52)*(1-$D$104)*E18</f>
        <v>0</v>
      </c>
      <c r="F112" s="119">
        <f t="shared" si="74"/>
        <v>0</v>
      </c>
      <c r="G112" s="119">
        <f t="shared" si="74"/>
        <v>0</v>
      </c>
      <c r="H112" s="119">
        <f t="shared" si="74"/>
        <v>85.91441264640001</v>
      </c>
      <c r="I112" s="119">
        <f t="shared" si="74"/>
        <v>89.350989152256005</v>
      </c>
      <c r="J112" s="119">
        <f t="shared" si="74"/>
        <v>92.925028718346255</v>
      </c>
      <c r="K112" s="119">
        <f t="shared" si="74"/>
        <v>96.642029867080112</v>
      </c>
      <c r="L112" s="119">
        <f t="shared" si="74"/>
        <v>100.50771106176332</v>
      </c>
      <c r="M112" s="119">
        <f t="shared" si="74"/>
        <v>104.52801950423387</v>
      </c>
      <c r="N112" s="119">
        <f t="shared" si="74"/>
        <v>0</v>
      </c>
    </row>
    <row r="113" spans="1:14" x14ac:dyDescent="0.25">
      <c r="A113" s="3" t="s">
        <v>18</v>
      </c>
      <c r="B113" s="4" t="s">
        <v>19</v>
      </c>
      <c r="C113" s="4" t="s">
        <v>20</v>
      </c>
      <c r="D113" s="18">
        <f t="shared" si="69"/>
        <v>189.95606365002655</v>
      </c>
      <c r="E113" s="119">
        <f t="shared" ref="E113:N113" si="75">E18*E58</f>
        <v>0</v>
      </c>
      <c r="F113" s="119">
        <f t="shared" si="75"/>
        <v>0</v>
      </c>
      <c r="G113" s="119">
        <f t="shared" si="75"/>
        <v>0</v>
      </c>
      <c r="H113" s="119">
        <f t="shared" si="75"/>
        <v>28.638137548800007</v>
      </c>
      <c r="I113" s="119">
        <f t="shared" si="75"/>
        <v>29.783663050752008</v>
      </c>
      <c r="J113" s="119">
        <f t="shared" si="75"/>
        <v>30.975009572782088</v>
      </c>
      <c r="K113" s="119">
        <f t="shared" si="75"/>
        <v>32.214009955693378</v>
      </c>
      <c r="L113" s="119">
        <f t="shared" si="75"/>
        <v>33.502570353921108</v>
      </c>
      <c r="M113" s="119">
        <f t="shared" si="75"/>
        <v>34.842673168077958</v>
      </c>
      <c r="N113" s="119">
        <f t="shared" si="75"/>
        <v>0</v>
      </c>
    </row>
    <row r="114" spans="1:14" x14ac:dyDescent="0.25">
      <c r="A114" s="3" t="s">
        <v>69</v>
      </c>
      <c r="B114" s="4" t="s">
        <v>19</v>
      </c>
      <c r="C114" s="4" t="s">
        <v>20</v>
      </c>
      <c r="D114" s="18">
        <f t="shared" si="69"/>
        <v>367.36467904722912</v>
      </c>
      <c r="E114" s="30">
        <f t="shared" ref="E114:N114" si="76">$D$28*E57*E107/$D$107/1000</f>
        <v>0</v>
      </c>
      <c r="F114" s="30">
        <f t="shared" si="76"/>
        <v>16.015718904177948</v>
      </c>
      <c r="G114" s="30">
        <f t="shared" si="76"/>
        <v>34.64520313351774</v>
      </c>
      <c r="H114" s="30">
        <f t="shared" si="76"/>
        <v>56.208377563819177</v>
      </c>
      <c r="I114" s="30">
        <f t="shared" si="76"/>
        <v>58.456712666371942</v>
      </c>
      <c r="J114" s="30">
        <f t="shared" si="76"/>
        <v>63.226780419947907</v>
      </c>
      <c r="K114" s="30">
        <f t="shared" si="76"/>
        <v>65.755851636745817</v>
      </c>
      <c r="L114" s="30">
        <f t="shared" si="76"/>
        <v>47.414352753536193</v>
      </c>
      <c r="M114" s="30">
        <f t="shared" si="76"/>
        <v>25.641681969112373</v>
      </c>
      <c r="N114" s="30">
        <f t="shared" si="76"/>
        <v>0</v>
      </c>
    </row>
    <row r="115" spans="1:14" x14ac:dyDescent="0.25">
      <c r="A115" s="3" t="s">
        <v>70</v>
      </c>
      <c r="B115" s="4" t="s">
        <v>19</v>
      </c>
      <c r="C115" s="4" t="s">
        <v>20</v>
      </c>
      <c r="D115" s="18">
        <f t="shared" si="69"/>
        <v>0</v>
      </c>
      <c r="E115" s="30">
        <v>0</v>
      </c>
      <c r="F115" s="30">
        <v>0</v>
      </c>
      <c r="G115" s="30">
        <v>0</v>
      </c>
      <c r="H115" s="30">
        <v>0</v>
      </c>
      <c r="I115" s="30">
        <v>0</v>
      </c>
      <c r="J115" s="30">
        <v>0</v>
      </c>
      <c r="K115" s="30">
        <v>0</v>
      </c>
      <c r="L115" s="30">
        <v>0</v>
      </c>
      <c r="M115" s="30">
        <v>0</v>
      </c>
      <c r="N115" s="30">
        <v>0</v>
      </c>
    </row>
    <row r="116" spans="1:14" s="24" customFormat="1" x14ac:dyDescent="0.25">
      <c r="A116" s="10" t="s">
        <v>399</v>
      </c>
      <c r="B116" s="19" t="s">
        <v>19</v>
      </c>
      <c r="C116" s="19" t="s">
        <v>20</v>
      </c>
      <c r="D116" s="119">
        <f t="shared" si="69"/>
        <v>824.89062399999989</v>
      </c>
      <c r="E116" s="30">
        <f t="shared" ref="E116:N116" si="77">E90+E91+E92</f>
        <v>824.89062399999989</v>
      </c>
      <c r="F116" s="30">
        <f t="shared" si="77"/>
        <v>0</v>
      </c>
      <c r="G116" s="30">
        <f t="shared" si="77"/>
        <v>0</v>
      </c>
      <c r="H116" s="30">
        <f t="shared" si="77"/>
        <v>0</v>
      </c>
      <c r="I116" s="30">
        <f t="shared" si="77"/>
        <v>0</v>
      </c>
      <c r="J116" s="30">
        <f t="shared" si="77"/>
        <v>0</v>
      </c>
      <c r="K116" s="30">
        <f t="shared" si="77"/>
        <v>0</v>
      </c>
      <c r="L116" s="30">
        <f t="shared" si="77"/>
        <v>0</v>
      </c>
      <c r="M116" s="30">
        <f t="shared" si="77"/>
        <v>0</v>
      </c>
      <c r="N116" s="30">
        <f t="shared" si="77"/>
        <v>0</v>
      </c>
    </row>
    <row r="117" spans="1:14" s="24" customFormat="1" x14ac:dyDescent="0.25">
      <c r="A117" s="10" t="s">
        <v>72</v>
      </c>
      <c r="B117" s="19" t="s">
        <v>19</v>
      </c>
      <c r="C117" s="19" t="s">
        <v>20</v>
      </c>
      <c r="D117" s="119">
        <f t="shared" si="69"/>
        <v>410.37933358752116</v>
      </c>
      <c r="E117" s="30">
        <f>SUM(E106:E116)*'Исходные данные'!$D$88</f>
        <v>41.9434112</v>
      </c>
      <c r="F117" s="30">
        <f>SUM(F106:F116)*'Исходные данные'!$D$88</f>
        <v>13.294875366008903</v>
      </c>
      <c r="G117" s="30">
        <f>SUM(G106:G116)*'Исходные данные'!$D$88</f>
        <v>27.719966151939889</v>
      </c>
      <c r="H117" s="30">
        <f>SUM(H106:H116)*'Исходные данные'!$D$88</f>
        <v>52.264860542866806</v>
      </c>
      <c r="I117" s="30">
        <f>SUM(I106:I116)*'Исходные данные'!$D$88</f>
        <v>52.85792070652181</v>
      </c>
      <c r="J117" s="30">
        <f>SUM(J106:J116)*'Исходные данные'!$D$88</f>
        <v>54.964764957242153</v>
      </c>
      <c r="K117" s="30">
        <f>SUM(K106:K116)*'Исходные данные'!$D$88</f>
        <v>55.47685738726318</v>
      </c>
      <c r="L117" s="30">
        <f>SUM(L106:L116)*'Исходные данные'!$D$88</f>
        <v>42.031027576991413</v>
      </c>
      <c r="M117" s="30">
        <f>SUM(M106:M116)*'Исходные данные'!$D$88</f>
        <v>27.327836278681339</v>
      </c>
      <c r="N117" s="30">
        <f>SUM(N106:N116)*'Исходные данные'!$D$88</f>
        <v>42.497813420005677</v>
      </c>
    </row>
    <row r="118" spans="1:14" s="24" customFormat="1" x14ac:dyDescent="0.25">
      <c r="A118" s="10" t="s">
        <v>416</v>
      </c>
      <c r="B118" s="19" t="s">
        <v>19</v>
      </c>
      <c r="C118" s="19" t="s">
        <v>20</v>
      </c>
      <c r="D118" s="119">
        <f>SUM(E118:N118)</f>
        <v>0</v>
      </c>
      <c r="E118" s="30">
        <f>(E55*'Градостроительная модель'!$E$42+E54*'Градостроительная модель'!$E$46)*($D$102)*E18+E53*($D$103)*E18+(E51+E52)*($D$104)*E18</f>
        <v>0</v>
      </c>
      <c r="F118" s="30">
        <f>(F55*'Градостроительная модель'!$E$42+F54*'Градостроительная модель'!$E$46)*($D$102)*F18+F53*($D$103)*F18+(F51+F52)*($D$104)*F18</f>
        <v>0</v>
      </c>
      <c r="G118" s="30">
        <f>(G55*'Градостроительная модель'!$E$42+G54*'Градостроительная модель'!$E$46)*($D$102)*G18+G53*($D$103)*G18+(G51+G52)*($D$104)*G18</f>
        <v>0</v>
      </c>
      <c r="H118" s="30">
        <f>(H55*'Градостроительная модель'!$E$42+H54*'Градостроительная модель'!$E$46)*($D$102)*H18+H53*($D$103)*H18+(H51+H52)*($D$104)*H18</f>
        <v>0</v>
      </c>
      <c r="I118" s="30">
        <f>(I55*'Градостроительная модель'!$E$42+I54*'Градостроительная модель'!$E$46)*($D$102)*I18+I53*($D$103)*I18+(I51+I52)*($D$104)*I18</f>
        <v>0</v>
      </c>
      <c r="J118" s="30">
        <f>(J55*'Градостроительная модель'!$E$42+J54*'Градостроительная модель'!$E$46)*($D$102)*J18+J53*($D$103)*J18+(J51+J52)*($D$104)*J18</f>
        <v>0</v>
      </c>
      <c r="K118" s="30">
        <f>(K55*'Градостроительная модель'!$E$42+K54*'Градостроительная модель'!$E$46)*($D$102)*K18+K53*($D$103)*K18+(K51+K52)*($D$104)*K18</f>
        <v>0</v>
      </c>
      <c r="L118" s="30">
        <f>(L55*'Градостроительная модель'!$E$42+L54*'Градостроительная модель'!$E$46)*($D$102)*L18+L53*($D$103)*L18+(L51+L52)*($D$104)*L18</f>
        <v>0</v>
      </c>
      <c r="M118" s="30">
        <f>(M55*'Градостроительная модель'!$E$42+M54*'Градостроительная модель'!$E$46)*($D$102)*M18+M53*($D$103)*M18+(M51+M52)*($D$104)*M18</f>
        <v>0</v>
      </c>
      <c r="N118" s="30">
        <f>(N55*'Градостроительная модель'!$E$42+N54*'Градостроительная модель'!$E$46)*($D$102)*N18+N53*($D$103)*N18+(N51+N52)*($D$104)*N18</f>
        <v>0</v>
      </c>
    </row>
    <row r="119" spans="1:14" s="24" customFormat="1" ht="60" customHeight="1" x14ac:dyDescent="0.25">
      <c r="A119" s="105" t="s">
        <v>572</v>
      </c>
      <c r="B119" s="104" t="s">
        <v>507</v>
      </c>
      <c r="C119" s="343" t="s">
        <v>20</v>
      </c>
      <c r="D119" s="344"/>
      <c r="E119" s="345">
        <v>100</v>
      </c>
      <c r="F119" s="30"/>
      <c r="G119" s="30"/>
      <c r="H119" s="30"/>
      <c r="I119" s="30"/>
      <c r="J119" s="30"/>
      <c r="K119" s="30"/>
      <c r="L119" s="30"/>
      <c r="M119" s="30"/>
      <c r="N119" s="30"/>
    </row>
    <row r="120" spans="1:14" ht="20.25" x14ac:dyDescent="0.3">
      <c r="A120" s="380" t="s">
        <v>32</v>
      </c>
      <c r="B120" s="381"/>
      <c r="C120" s="381"/>
      <c r="D120" s="382" t="s">
        <v>274</v>
      </c>
      <c r="E120" s="391"/>
      <c r="F120" s="391"/>
      <c r="G120" s="391"/>
      <c r="H120" s="391"/>
      <c r="I120" s="391"/>
      <c r="J120" s="391"/>
      <c r="K120" s="391"/>
      <c r="L120" s="391"/>
      <c r="M120" s="391"/>
      <c r="N120" s="391"/>
    </row>
    <row r="121" spans="1:14" x14ac:dyDescent="0.25">
      <c r="A121" s="10" t="s">
        <v>604</v>
      </c>
      <c r="B121" s="19" t="s">
        <v>19</v>
      </c>
      <c r="C121" s="19" t="s">
        <v>20</v>
      </c>
      <c r="D121" s="30">
        <f>SUM(E121:N121)</f>
        <v>8593.2874336084424</v>
      </c>
      <c r="E121" s="326">
        <f>IF((E18-E67-E76-E80)*E41&gt;0,(E18-E67-E76-E80)*E41,0)</f>
        <v>0</v>
      </c>
      <c r="F121" s="326">
        <f t="shared" ref="F121:N121" si="78">IF((F18-F67-F76-F80)*F41&gt;0,(F18-F67-F76-F80)*F41,0)</f>
        <v>0</v>
      </c>
      <c r="G121" s="326">
        <f t="shared" si="78"/>
        <v>0</v>
      </c>
      <c r="H121" s="326">
        <f>IF((H18-H67-H76-H80)*H41&gt;0,(H18-H67-H76-H80)*H41,0)</f>
        <v>1237.1900033925122</v>
      </c>
      <c r="I121" s="326">
        <f t="shared" si="78"/>
        <v>1358.1350351142914</v>
      </c>
      <c r="J121" s="326">
        <f t="shared" si="78"/>
        <v>1412.4604365188632</v>
      </c>
      <c r="K121" s="326">
        <f t="shared" si="78"/>
        <v>1468.9588539796177</v>
      </c>
      <c r="L121" s="326">
        <f t="shared" si="78"/>
        <v>1527.7172081388026</v>
      </c>
      <c r="M121" s="326">
        <f t="shared" si="78"/>
        <v>1588.8258964643546</v>
      </c>
      <c r="N121" s="326">
        <f t="shared" si="78"/>
        <v>0</v>
      </c>
    </row>
    <row r="122" spans="1:14" x14ac:dyDescent="0.25">
      <c r="A122" s="10" t="s">
        <v>39</v>
      </c>
      <c r="B122" s="19" t="s">
        <v>19</v>
      </c>
      <c r="C122" s="19" t="s">
        <v>20</v>
      </c>
      <c r="D122" s="30">
        <f t="shared" ref="D122:D124" si="79">SUM(E122:N122)</f>
        <v>1674.6861787969251</v>
      </c>
      <c r="E122" s="30">
        <f t="shared" ref="E122:N122" si="80">E28*E46</f>
        <v>0</v>
      </c>
      <c r="F122" s="30">
        <f t="shared" si="80"/>
        <v>0</v>
      </c>
      <c r="G122" s="30">
        <f t="shared" si="80"/>
        <v>0</v>
      </c>
      <c r="H122" s="30">
        <f t="shared" si="80"/>
        <v>252.47887441920008</v>
      </c>
      <c r="I122" s="30">
        <f t="shared" si="80"/>
        <v>262.57802939596809</v>
      </c>
      <c r="J122" s="30">
        <f t="shared" si="80"/>
        <v>273.0811505718068</v>
      </c>
      <c r="K122" s="30">
        <f t="shared" si="80"/>
        <v>284.00439659467912</v>
      </c>
      <c r="L122" s="30">
        <f t="shared" si="80"/>
        <v>295.36457245846628</v>
      </c>
      <c r="M122" s="30">
        <f t="shared" si="80"/>
        <v>307.17915535680493</v>
      </c>
      <c r="N122" s="30">
        <f t="shared" si="80"/>
        <v>0</v>
      </c>
    </row>
    <row r="123" spans="1:14" x14ac:dyDescent="0.25">
      <c r="A123" s="10" t="s">
        <v>35</v>
      </c>
      <c r="B123" s="19" t="s">
        <v>19</v>
      </c>
      <c r="C123" s="19" t="s">
        <v>20</v>
      </c>
      <c r="D123" s="30">
        <f t="shared" si="79"/>
        <v>2707.4724938870113</v>
      </c>
      <c r="E123" s="30">
        <f t="shared" ref="E123:N123" si="81">E20*E47+E22*E47</f>
        <v>0</v>
      </c>
      <c r="F123" s="30">
        <f t="shared" si="81"/>
        <v>0</v>
      </c>
      <c r="G123" s="30">
        <f t="shared" si="81"/>
        <v>0</v>
      </c>
      <c r="H123" s="30">
        <f t="shared" si="81"/>
        <v>227.42050406400003</v>
      </c>
      <c r="I123" s="30">
        <f t="shared" si="81"/>
        <v>236.51732422656005</v>
      </c>
      <c r="J123" s="30">
        <f t="shared" si="81"/>
        <v>245.97801719562247</v>
      </c>
      <c r="K123" s="30">
        <f t="shared" si="81"/>
        <v>255.81713788344737</v>
      </c>
      <c r="L123" s="30">
        <f t="shared" si="81"/>
        <v>266.04982339878529</v>
      </c>
      <c r="M123" s="30">
        <f t="shared" si="81"/>
        <v>276.69181633473676</v>
      </c>
      <c r="N123" s="30">
        <f t="shared" si="81"/>
        <v>1198.9978707838591</v>
      </c>
    </row>
    <row r="124" spans="1:14" x14ac:dyDescent="0.25">
      <c r="A124" s="10" t="s">
        <v>577</v>
      </c>
      <c r="B124" s="19" t="s">
        <v>19</v>
      </c>
      <c r="C124" s="19" t="s">
        <v>20</v>
      </c>
      <c r="D124" s="30">
        <f t="shared" si="79"/>
        <v>12975.44610629238</v>
      </c>
      <c r="E124" s="30">
        <f>SUM(E121:E123)</f>
        <v>0</v>
      </c>
      <c r="F124" s="30">
        <f t="shared" ref="F124:N124" si="82">SUM(F121:F123)</f>
        <v>0</v>
      </c>
      <c r="G124" s="30">
        <f t="shared" si="82"/>
        <v>0</v>
      </c>
      <c r="H124" s="30">
        <f t="shared" si="82"/>
        <v>1717.0893818757122</v>
      </c>
      <c r="I124" s="30">
        <f t="shared" si="82"/>
        <v>1857.2303887368196</v>
      </c>
      <c r="J124" s="30">
        <f t="shared" si="82"/>
        <v>1931.5196042862924</v>
      </c>
      <c r="K124" s="30">
        <f t="shared" si="82"/>
        <v>2008.7803884577443</v>
      </c>
      <c r="L124" s="30">
        <f t="shared" si="82"/>
        <v>2089.1316039960539</v>
      </c>
      <c r="M124" s="30">
        <f t="shared" si="82"/>
        <v>2172.6968681558965</v>
      </c>
      <c r="N124" s="30">
        <f t="shared" si="82"/>
        <v>1198.9978707838591</v>
      </c>
    </row>
    <row r="125" spans="1:14" ht="20.25" x14ac:dyDescent="0.3">
      <c r="A125" s="380" t="s">
        <v>33</v>
      </c>
      <c r="B125" s="378"/>
      <c r="C125" s="378"/>
      <c r="D125" s="378"/>
      <c r="E125" s="390"/>
      <c r="F125" s="390"/>
      <c r="G125" s="390"/>
      <c r="H125" s="390"/>
      <c r="I125" s="390"/>
      <c r="J125" s="390"/>
      <c r="K125" s="390"/>
      <c r="L125" s="390"/>
      <c r="M125" s="390"/>
      <c r="N125" s="390"/>
    </row>
    <row r="126" spans="1:14" x14ac:dyDescent="0.25">
      <c r="A126" s="121" t="s">
        <v>281</v>
      </c>
      <c r="B126" s="19"/>
      <c r="C126" s="19"/>
      <c r="D126" s="19"/>
      <c r="E126" s="30"/>
      <c r="F126" s="30"/>
      <c r="G126" s="30"/>
      <c r="H126" s="30"/>
      <c r="I126" s="30"/>
      <c r="J126" s="30"/>
      <c r="K126" s="30"/>
      <c r="L126" s="30"/>
      <c r="M126" s="30"/>
      <c r="N126" s="30"/>
    </row>
    <row r="127" spans="1:14" ht="54" customHeight="1" x14ac:dyDescent="0.25">
      <c r="A127" s="122" t="s">
        <v>36</v>
      </c>
      <c r="B127" s="104" t="s">
        <v>507</v>
      </c>
      <c r="C127" s="123" t="s">
        <v>279</v>
      </c>
      <c r="D127" s="138">
        <v>0.15</v>
      </c>
      <c r="E127" s="30"/>
      <c r="F127" s="30"/>
      <c r="G127" s="30"/>
      <c r="H127" s="30"/>
      <c r="I127" s="30"/>
      <c r="J127" s="30"/>
      <c r="K127" s="30"/>
      <c r="L127" s="30"/>
      <c r="M127" s="30"/>
      <c r="N127" s="30"/>
    </row>
    <row r="128" spans="1:14" s="24" customFormat="1" ht="52.15" customHeight="1" x14ac:dyDescent="0.25">
      <c r="A128" s="122" t="s">
        <v>376</v>
      </c>
      <c r="B128" s="104" t="s">
        <v>507</v>
      </c>
      <c r="C128" s="123" t="s">
        <v>280</v>
      </c>
      <c r="D128" s="138">
        <v>0.12</v>
      </c>
      <c r="E128" s="30"/>
      <c r="F128" s="30"/>
      <c r="G128" s="30"/>
      <c r="H128" s="30"/>
      <c r="I128" s="30"/>
      <c r="J128" s="30"/>
      <c r="K128" s="30"/>
      <c r="L128" s="30"/>
      <c r="M128" s="30"/>
      <c r="N128" s="30"/>
    </row>
    <row r="129" spans="1:15" s="24" customFormat="1" x14ac:dyDescent="0.25">
      <c r="A129" s="10" t="s">
        <v>34</v>
      </c>
      <c r="B129" s="19" t="s">
        <v>19</v>
      </c>
      <c r="C129" s="19" t="s">
        <v>20</v>
      </c>
      <c r="D129" s="30">
        <f>SUM(E129:N129)</f>
        <v>8717.9660053379448</v>
      </c>
      <c r="E129" s="30">
        <f>E105</f>
        <v>980.81163519999996</v>
      </c>
      <c r="F129" s="30">
        <f t="shared" ref="F129:N129" si="83">F105</f>
        <v>279.19238268618693</v>
      </c>
      <c r="G129" s="30">
        <f t="shared" si="83"/>
        <v>582.11928919073762</v>
      </c>
      <c r="H129" s="30">
        <f t="shared" si="83"/>
        <v>1097.5620714002027</v>
      </c>
      <c r="I129" s="30">
        <f t="shared" si="83"/>
        <v>1110.0163348369579</v>
      </c>
      <c r="J129" s="30">
        <f t="shared" si="83"/>
        <v>1154.2600641020852</v>
      </c>
      <c r="K129" s="30">
        <f t="shared" si="83"/>
        <v>1165.0140051325268</v>
      </c>
      <c r="L129" s="30">
        <f t="shared" si="83"/>
        <v>882.65157911681956</v>
      </c>
      <c r="M129" s="30">
        <f t="shared" si="83"/>
        <v>573.88456185230814</v>
      </c>
      <c r="N129" s="30">
        <f t="shared" si="83"/>
        <v>892.45408182011909</v>
      </c>
    </row>
    <row r="130" spans="1:15" x14ac:dyDescent="0.25">
      <c r="A130" s="10" t="s">
        <v>36</v>
      </c>
      <c r="B130" s="19" t="s">
        <v>19</v>
      </c>
      <c r="C130" s="19" t="s">
        <v>20</v>
      </c>
      <c r="D130" s="30">
        <f>SUM(E130:N130)</f>
        <v>276.31849606153867</v>
      </c>
      <c r="E130" s="326">
        <f>IF(E129&lt;=E131,0,IF($D$127*E129&lt;E129-E131,$D$127*E129,E129-E131))</f>
        <v>147.12174528</v>
      </c>
      <c r="F130" s="326">
        <f>IF(F129&lt;=F131,0,IF($D$127*F129&lt;F129-F131,$D$127*F129,F129-F131))</f>
        <v>41.878857402928041</v>
      </c>
      <c r="G130" s="326">
        <f t="shared" ref="G130:N130" si="84">IF(G129&lt;=G131,0,IF($D$127*G129&lt;G129-G131,$D$127*G129,G129-G131))</f>
        <v>87.317893378610634</v>
      </c>
      <c r="H130" s="326">
        <f t="shared" si="84"/>
        <v>0</v>
      </c>
      <c r="I130" s="326">
        <f>IF(I129&lt;=I131,0,IF($D$127*I129&lt;I129-I131,$D$127*I129,I129-I131))</f>
        <v>0</v>
      </c>
      <c r="J130" s="326">
        <f t="shared" si="84"/>
        <v>0</v>
      </c>
      <c r="K130" s="326">
        <f t="shared" si="84"/>
        <v>0</v>
      </c>
      <c r="L130" s="326">
        <f t="shared" si="84"/>
        <v>0</v>
      </c>
      <c r="M130" s="326">
        <f t="shared" si="84"/>
        <v>0</v>
      </c>
      <c r="N130" s="326">
        <f t="shared" si="84"/>
        <v>0</v>
      </c>
    </row>
    <row r="131" spans="1:15" x14ac:dyDescent="0.25">
      <c r="A131" s="10" t="s">
        <v>576</v>
      </c>
      <c r="B131" s="19" t="s">
        <v>19</v>
      </c>
      <c r="C131" s="19" t="s">
        <v>20</v>
      </c>
      <c r="D131" s="30">
        <f t="shared" ref="D131:D133" si="85">SUM(E131:N131)</f>
        <v>6875.8426982610199</v>
      </c>
      <c r="E131" s="326">
        <f t="shared" ref="E131:N131" si="86">IF((E121+E20*E47+E23*E47+E28*E46)&gt;=E129,E129,E121+E20*E47+E23*E47+E28*E46)</f>
        <v>0</v>
      </c>
      <c r="F131" s="326">
        <f t="shared" si="86"/>
        <v>0</v>
      </c>
      <c r="G131" s="326">
        <f t="shared" si="86"/>
        <v>0</v>
      </c>
      <c r="H131" s="326">
        <f t="shared" si="86"/>
        <v>1097.5620714002027</v>
      </c>
      <c r="I131" s="326">
        <f t="shared" si="86"/>
        <v>1110.0163348369579</v>
      </c>
      <c r="J131" s="326">
        <f t="shared" si="86"/>
        <v>1154.2600641020852</v>
      </c>
      <c r="K131" s="326">
        <f t="shared" si="86"/>
        <v>1165.0140051325268</v>
      </c>
      <c r="L131" s="326">
        <f t="shared" si="86"/>
        <v>882.65157911681956</v>
      </c>
      <c r="M131" s="326">
        <f t="shared" si="86"/>
        <v>573.88456185230814</v>
      </c>
      <c r="N131" s="326">
        <f t="shared" si="86"/>
        <v>892.45408182011909</v>
      </c>
    </row>
    <row r="132" spans="1:15" x14ac:dyDescent="0.25">
      <c r="A132" s="10" t="s">
        <v>573</v>
      </c>
      <c r="B132" s="19" t="s">
        <v>19</v>
      </c>
      <c r="C132" s="19" t="s">
        <v>20</v>
      </c>
      <c r="D132" s="30">
        <f t="shared" si="85"/>
        <v>1498.5616350153859</v>
      </c>
      <c r="E132" s="326">
        <f>IF(E129-E130-E131-E134&gt;0,E129-E130-E131-E134,0)</f>
        <v>766.44671391999998</v>
      </c>
      <c r="F132" s="326">
        <f t="shared" ref="F132:N132" si="87">IF(F129-F130-F131-F134&gt;0,F129-F130-F131-F134,0)</f>
        <v>237.31352528325888</v>
      </c>
      <c r="G132" s="326">
        <f t="shared" si="87"/>
        <v>494.801395812127</v>
      </c>
      <c r="H132" s="326">
        <f t="shared" si="87"/>
        <v>0</v>
      </c>
      <c r="I132" s="326">
        <f t="shared" si="87"/>
        <v>0</v>
      </c>
      <c r="J132" s="326">
        <f t="shared" si="87"/>
        <v>0</v>
      </c>
      <c r="K132" s="326">
        <f t="shared" si="87"/>
        <v>0</v>
      </c>
      <c r="L132" s="326">
        <f t="shared" si="87"/>
        <v>0</v>
      </c>
      <c r="M132" s="326">
        <f t="shared" si="87"/>
        <v>0</v>
      </c>
      <c r="N132" s="326">
        <f t="shared" si="87"/>
        <v>0</v>
      </c>
    </row>
    <row r="133" spans="1:15" x14ac:dyDescent="0.25">
      <c r="A133" s="10" t="s">
        <v>574</v>
      </c>
      <c r="B133" s="19" t="s">
        <v>19</v>
      </c>
      <c r="C133" s="19" t="s">
        <v>20</v>
      </c>
      <c r="D133" s="30">
        <f t="shared" si="85"/>
        <v>179.82739620184628</v>
      </c>
      <c r="E133" s="30">
        <f>$D$128*E132</f>
        <v>91.973605670399991</v>
      </c>
      <c r="F133" s="30">
        <f t="shared" ref="F133:N133" si="88">$D$128*F132</f>
        <v>28.477623033991065</v>
      </c>
      <c r="G133" s="30">
        <f t="shared" si="88"/>
        <v>59.376167497455235</v>
      </c>
      <c r="H133" s="30">
        <f t="shared" si="88"/>
        <v>0</v>
      </c>
      <c r="I133" s="30">
        <f t="shared" si="88"/>
        <v>0</v>
      </c>
      <c r="J133" s="30">
        <f t="shared" si="88"/>
        <v>0</v>
      </c>
      <c r="K133" s="30">
        <f t="shared" si="88"/>
        <v>0</v>
      </c>
      <c r="L133" s="30">
        <f t="shared" si="88"/>
        <v>0</v>
      </c>
      <c r="M133" s="30">
        <f t="shared" si="88"/>
        <v>0</v>
      </c>
      <c r="N133" s="30">
        <f t="shared" si="88"/>
        <v>0</v>
      </c>
    </row>
    <row r="134" spans="1:15" ht="22.9" customHeight="1" x14ac:dyDescent="0.25">
      <c r="A134" s="10" t="s">
        <v>575</v>
      </c>
      <c r="B134" s="19" t="s">
        <v>19</v>
      </c>
      <c r="C134" s="23" t="str">
        <f>C97</f>
        <v>млн руб.</v>
      </c>
      <c r="D134" s="30">
        <f>SUM(E134:N134)</f>
        <v>72.91815987455999</v>
      </c>
      <c r="E134" s="214">
        <f t="shared" ref="E134:N134" si="89">E97+E99</f>
        <v>67.243175999999991</v>
      </c>
      <c r="F134" s="214">
        <f t="shared" si="89"/>
        <v>0</v>
      </c>
      <c r="G134" s="214">
        <f t="shared" si="89"/>
        <v>0</v>
      </c>
      <c r="H134" s="214">
        <f t="shared" si="89"/>
        <v>5.6749838745599996</v>
      </c>
      <c r="I134" s="214">
        <f t="shared" si="89"/>
        <v>0</v>
      </c>
      <c r="J134" s="214">
        <f t="shared" si="89"/>
        <v>0</v>
      </c>
      <c r="K134" s="214">
        <f t="shared" si="89"/>
        <v>0</v>
      </c>
      <c r="L134" s="214">
        <f t="shared" si="89"/>
        <v>0</v>
      </c>
      <c r="M134" s="214">
        <f t="shared" si="89"/>
        <v>0</v>
      </c>
      <c r="N134" s="214">
        <f t="shared" si="89"/>
        <v>0</v>
      </c>
    </row>
    <row r="135" spans="1:15" ht="31.15" customHeight="1" x14ac:dyDescent="0.25">
      <c r="A135" s="10" t="s">
        <v>578</v>
      </c>
      <c r="B135" s="19" t="s">
        <v>19</v>
      </c>
      <c r="C135" s="19" t="s">
        <v>20</v>
      </c>
      <c r="D135" s="30">
        <f>SUM(E135:N135)</f>
        <v>8897.7934015397914</v>
      </c>
      <c r="E135" s="30">
        <f>E129+E133</f>
        <v>1072.7852408704</v>
      </c>
      <c r="F135" s="30">
        <f t="shared" ref="F135:N135" si="90">F129+F133</f>
        <v>307.67000572017798</v>
      </c>
      <c r="G135" s="30">
        <f t="shared" si="90"/>
        <v>641.4954566881928</v>
      </c>
      <c r="H135" s="30">
        <f t="shared" si="90"/>
        <v>1097.5620714002027</v>
      </c>
      <c r="I135" s="30">
        <f t="shared" si="90"/>
        <v>1110.0163348369579</v>
      </c>
      <c r="J135" s="30">
        <f t="shared" si="90"/>
        <v>1154.2600641020852</v>
      </c>
      <c r="K135" s="30">
        <f t="shared" si="90"/>
        <v>1165.0140051325268</v>
      </c>
      <c r="L135" s="30">
        <f t="shared" si="90"/>
        <v>882.65157911681956</v>
      </c>
      <c r="M135" s="30">
        <f t="shared" si="90"/>
        <v>573.88456185230814</v>
      </c>
      <c r="N135" s="30">
        <f t="shared" si="90"/>
        <v>892.45408182011909</v>
      </c>
    </row>
    <row r="136" spans="1:15" s="24" customFormat="1" ht="20.25" x14ac:dyDescent="0.3">
      <c r="A136" s="380" t="s">
        <v>596</v>
      </c>
      <c r="B136" s="378"/>
      <c r="C136" s="378"/>
      <c r="D136" s="379" t="s">
        <v>274</v>
      </c>
      <c r="E136" s="378"/>
      <c r="F136" s="378"/>
      <c r="G136" s="378"/>
      <c r="H136" s="378"/>
      <c r="I136" s="378"/>
      <c r="J136" s="378"/>
      <c r="K136" s="378"/>
      <c r="L136" s="378"/>
      <c r="M136" s="378"/>
      <c r="N136" s="378"/>
    </row>
    <row r="137" spans="1:15" s="24" customFormat="1" x14ac:dyDescent="0.25">
      <c r="A137" s="3" t="s">
        <v>41</v>
      </c>
      <c r="B137" s="19" t="s">
        <v>19</v>
      </c>
      <c r="C137" s="19" t="s">
        <v>20</v>
      </c>
      <c r="D137" s="21">
        <f t="shared" ref="D137:D142" si="91">SUM(E137:N137)</f>
        <v>405.30325411927095</v>
      </c>
      <c r="E137" s="21">
        <v>0</v>
      </c>
      <c r="F137" s="21">
        <f>E141</f>
        <v>2.3296000000000006</v>
      </c>
      <c r="G137" s="21">
        <f>F141</f>
        <v>46.645851220029677</v>
      </c>
      <c r="H137" s="21">
        <f>G141</f>
        <v>139.04573839316265</v>
      </c>
      <c r="I137" s="21">
        <f>H141</f>
        <v>217.28206450607865</v>
      </c>
      <c r="J137" s="21">
        <v>0</v>
      </c>
      <c r="K137" s="21">
        <v>0</v>
      </c>
      <c r="L137" s="21">
        <v>0</v>
      </c>
      <c r="M137" s="21">
        <v>0</v>
      </c>
      <c r="N137" s="21">
        <v>0</v>
      </c>
      <c r="O137" s="346"/>
    </row>
    <row r="138" spans="1:15" s="24" customFormat="1" x14ac:dyDescent="0.25">
      <c r="A138" s="3" t="s">
        <v>37</v>
      </c>
      <c r="B138" s="19" t="s">
        <v>19</v>
      </c>
      <c r="C138" s="19" t="s">
        <v>20</v>
      </c>
      <c r="D138" s="21">
        <f t="shared" si="91"/>
        <v>1230.4493412917373</v>
      </c>
      <c r="E138" s="18">
        <f>'Исходные данные'!$D$95/(1+'Исходные данные'!$D$95)*SUM(E106:E115)</f>
        <v>2.3296000000000006</v>
      </c>
      <c r="F138" s="18">
        <f>'Исходные данные'!$D$95/(1+'Исходные данные'!$D$95)*SUM(F106:F115)</f>
        <v>44.316251220029677</v>
      </c>
      <c r="G138" s="18">
        <f>'Исходные данные'!$D$95/(1+'Исходные данные'!$D$95)*SUM(G106:G115)</f>
        <v>92.399887173132967</v>
      </c>
      <c r="H138" s="18">
        <f>'Исходные данные'!$D$95/(1+'Исходные данные'!$D$95)*SUM(H106:H115)</f>
        <v>174.21620180955603</v>
      </c>
      <c r="I138" s="18">
        <f>'Исходные данные'!$D$95/(1+'Исходные данные'!$D$95)*SUM(I106:I115)</f>
        <v>176.19306902173938</v>
      </c>
      <c r="J138" s="18">
        <f>'Исходные данные'!$D$95/(1+'Исходные данные'!$D$95)*SUM(J106:J115)</f>
        <v>183.2158831908072</v>
      </c>
      <c r="K138" s="18">
        <f>'Исходные данные'!$D$95/(1+'Исходные данные'!$D$95)*SUM(K106:K115)</f>
        <v>184.92285795754395</v>
      </c>
      <c r="L138" s="18">
        <f>'Исходные данные'!$D$95/(1+'Исходные данные'!$D$95)*SUM(L106:L115)</f>
        <v>140.10342525663805</v>
      </c>
      <c r="M138" s="18">
        <f>'Исходные данные'!$D$95/(1+'Исходные данные'!$D$95)*SUM(M106:M115)</f>
        <v>91.092787595604463</v>
      </c>
      <c r="N138" s="18">
        <f>'Исходные данные'!$D$95/(1+'Исходные данные'!$D$95)*SUM(N106:N115)</f>
        <v>141.6593780666856</v>
      </c>
    </row>
    <row r="139" spans="1:15" s="24" customFormat="1" x14ac:dyDescent="0.25">
      <c r="A139" s="3" t="s">
        <v>38</v>
      </c>
      <c r="B139" s="19" t="s">
        <v>19</v>
      </c>
      <c r="C139" s="19" t="s">
        <v>20</v>
      </c>
      <c r="D139" s="21">
        <f t="shared" si="91"/>
        <v>876.43173453678742</v>
      </c>
      <c r="E139" s="18">
        <f>'Исходные данные'!$D$95*(E122+E123)</f>
        <v>0</v>
      </c>
      <c r="F139" s="18">
        <f>'Исходные данные'!$D$95*(F122+F123)</f>
        <v>0</v>
      </c>
      <c r="G139" s="18">
        <f>'Исходные данные'!$D$95*(G122+G123)</f>
        <v>0</v>
      </c>
      <c r="H139" s="18">
        <f>'Исходные данные'!$D$95*(H122+H123)</f>
        <v>95.979875696640022</v>
      </c>
      <c r="I139" s="18">
        <f>'Исходные данные'!$D$95*(I122+I123)</f>
        <v>99.819070724505636</v>
      </c>
      <c r="J139" s="18">
        <f>'Исходные данные'!$D$95*(J122+J123)</f>
        <v>103.81183355348585</v>
      </c>
      <c r="K139" s="18">
        <f>'Исходные данные'!$D$95*(K122+K123)</f>
        <v>107.96430689562531</v>
      </c>
      <c r="L139" s="18">
        <f>'Исходные данные'!$D$95*(L122+L123)</f>
        <v>112.2828791714503</v>
      </c>
      <c r="M139" s="18">
        <f>'Исходные данные'!$D$95*(M122+M123)</f>
        <v>116.77419433830833</v>
      </c>
      <c r="N139" s="18">
        <f>'Исходные данные'!$D$95*(N122+N123)</f>
        <v>239.79957415677183</v>
      </c>
    </row>
    <row r="140" spans="1:15" s="24" customFormat="1" x14ac:dyDescent="0.25">
      <c r="A140" s="3" t="s">
        <v>40</v>
      </c>
      <c r="B140" s="19" t="s">
        <v>19</v>
      </c>
      <c r="C140" s="19" t="s">
        <v>20</v>
      </c>
      <c r="D140" s="21">
        <f t="shared" si="91"/>
        <v>-354.01760675495007</v>
      </c>
      <c r="E140" s="18">
        <f t="shared" ref="E140:N140" si="92">E139-E138</f>
        <v>-2.3296000000000006</v>
      </c>
      <c r="F140" s="18">
        <f t="shared" si="92"/>
        <v>-44.316251220029677</v>
      </c>
      <c r="G140" s="18">
        <f t="shared" si="92"/>
        <v>-92.399887173132967</v>
      </c>
      <c r="H140" s="18">
        <f t="shared" si="92"/>
        <v>-78.236326112916004</v>
      </c>
      <c r="I140" s="18">
        <f t="shared" si="92"/>
        <v>-76.37399829723374</v>
      </c>
      <c r="J140" s="18">
        <f t="shared" si="92"/>
        <v>-79.40404963732135</v>
      </c>
      <c r="K140" s="18">
        <f t="shared" si="92"/>
        <v>-76.958551061918641</v>
      </c>
      <c r="L140" s="18">
        <f t="shared" si="92"/>
        <v>-27.820546085187743</v>
      </c>
      <c r="M140" s="18">
        <f t="shared" si="92"/>
        <v>25.681406742703871</v>
      </c>
      <c r="N140" s="18">
        <f t="shared" si="92"/>
        <v>98.140196090086221</v>
      </c>
    </row>
    <row r="141" spans="1:15" s="24" customFormat="1" x14ac:dyDescent="0.25">
      <c r="A141" s="3" t="s">
        <v>42</v>
      </c>
      <c r="B141" s="19" t="s">
        <v>19</v>
      </c>
      <c r="C141" s="19" t="s">
        <v>20</v>
      </c>
      <c r="D141" s="21">
        <f t="shared" si="91"/>
        <v>759.32086087422113</v>
      </c>
      <c r="E141" s="21">
        <f t="shared" ref="E141:N141" si="93">E137-E140</f>
        <v>2.3296000000000006</v>
      </c>
      <c r="F141" s="21">
        <f t="shared" si="93"/>
        <v>46.645851220029677</v>
      </c>
      <c r="G141" s="21">
        <f t="shared" si="93"/>
        <v>139.04573839316265</v>
      </c>
      <c r="H141" s="21">
        <f t="shared" si="93"/>
        <v>217.28206450607865</v>
      </c>
      <c r="I141" s="21">
        <f t="shared" si="93"/>
        <v>293.65606280331241</v>
      </c>
      <c r="J141" s="21">
        <f t="shared" si="93"/>
        <v>79.40404963732135</v>
      </c>
      <c r="K141" s="21">
        <f t="shared" si="93"/>
        <v>76.958551061918641</v>
      </c>
      <c r="L141" s="21">
        <f t="shared" si="93"/>
        <v>27.820546085187743</v>
      </c>
      <c r="M141" s="21">
        <f t="shared" si="93"/>
        <v>-25.681406742703871</v>
      </c>
      <c r="N141" s="21">
        <f t="shared" si="93"/>
        <v>-98.140196090086221</v>
      </c>
    </row>
    <row r="142" spans="1:15" s="24" customFormat="1" x14ac:dyDescent="0.25">
      <c r="A142" s="3" t="s">
        <v>43</v>
      </c>
      <c r="B142" s="19" t="s">
        <v>19</v>
      </c>
      <c r="C142" s="19" t="s">
        <v>20</v>
      </c>
      <c r="D142" s="21">
        <f t="shared" si="91"/>
        <v>123.82160283279009</v>
      </c>
      <c r="E142" s="21">
        <f t="shared" ref="E142:N142" si="94">-MIN(E141,0)</f>
        <v>0</v>
      </c>
      <c r="F142" s="21">
        <f t="shared" si="94"/>
        <v>0</v>
      </c>
      <c r="G142" s="21">
        <f t="shared" si="94"/>
        <v>0</v>
      </c>
      <c r="H142" s="21">
        <f t="shared" si="94"/>
        <v>0</v>
      </c>
      <c r="I142" s="21">
        <f t="shared" si="94"/>
        <v>0</v>
      </c>
      <c r="J142" s="21">
        <f t="shared" si="94"/>
        <v>0</v>
      </c>
      <c r="K142" s="21">
        <f t="shared" si="94"/>
        <v>0</v>
      </c>
      <c r="L142" s="21">
        <f t="shared" si="94"/>
        <v>0</v>
      </c>
      <c r="M142" s="21">
        <f t="shared" si="94"/>
        <v>25.681406742703871</v>
      </c>
      <c r="N142" s="21">
        <f t="shared" si="94"/>
        <v>98.140196090086221</v>
      </c>
    </row>
    <row r="143" spans="1:15" ht="20.25" x14ac:dyDescent="0.25">
      <c r="A143" s="383" t="s">
        <v>469</v>
      </c>
      <c r="B143" s="384"/>
      <c r="C143" s="384"/>
      <c r="D143" s="385" t="s">
        <v>274</v>
      </c>
      <c r="E143" s="386">
        <v>0</v>
      </c>
      <c r="F143" s="386">
        <v>1</v>
      </c>
      <c r="G143" s="386">
        <v>2</v>
      </c>
      <c r="H143" s="386">
        <v>3</v>
      </c>
      <c r="I143" s="386">
        <v>4</v>
      </c>
      <c r="J143" s="386">
        <v>5</v>
      </c>
      <c r="K143" s="386">
        <v>6</v>
      </c>
      <c r="L143" s="386">
        <v>7</v>
      </c>
      <c r="M143" s="386">
        <v>8</v>
      </c>
      <c r="N143" s="387">
        <v>9</v>
      </c>
      <c r="O143" s="388"/>
    </row>
    <row r="144" spans="1:15" x14ac:dyDescent="0.25">
      <c r="A144" s="28" t="s">
        <v>489</v>
      </c>
      <c r="B144" s="4" t="s">
        <v>19</v>
      </c>
      <c r="C144" s="4" t="s">
        <v>20</v>
      </c>
      <c r="D144" s="21">
        <f>SUM(E144:N144)</f>
        <v>5938.8910797370954</v>
      </c>
      <c r="E144" s="21">
        <f>E135/(1+'Исходные данные'!$D$93)^E143</f>
        <v>1072.7852408704</v>
      </c>
      <c r="F144" s="21">
        <f>F135/(1+'Исходные данные'!$D$93)^F143</f>
        <v>279.7000052001618</v>
      </c>
      <c r="G144" s="21">
        <f>G135/(1+'Исходные данные'!$D$93)^G143</f>
        <v>530.16153445305179</v>
      </c>
      <c r="H144" s="21">
        <f>H135/(1+'Исходные данные'!$D$93)^H143</f>
        <v>824.61462915116635</v>
      </c>
      <c r="I144" s="21">
        <f>I135/(1+'Исходные данные'!$D$93)^I143</f>
        <v>758.15609236866169</v>
      </c>
      <c r="J144" s="21">
        <f>J135/(1+'Исходные данные'!$D$93)^J143</f>
        <v>716.70468615661173</v>
      </c>
      <c r="K144" s="21">
        <f>K135/(1+'Исходные данные'!$D$93)^K143</f>
        <v>657.62003404484869</v>
      </c>
      <c r="L144" s="21">
        <f>L135/(1+'Исходные данные'!$D$93)^L143</f>
        <v>452.93982339294865</v>
      </c>
      <c r="M144" s="21">
        <f>M135/(1+'Исходные данные'!$D$93)^M143</f>
        <v>267.72138349253083</v>
      </c>
      <c r="N144" s="21">
        <f>N135/(1+'Исходные данные'!$D$93)^N143</f>
        <v>378.48765060671508</v>
      </c>
      <c r="O144" s="27"/>
    </row>
    <row r="145" spans="1:15" x14ac:dyDescent="0.25">
      <c r="A145" s="28" t="s">
        <v>379</v>
      </c>
      <c r="B145" s="4" t="s">
        <v>19</v>
      </c>
      <c r="C145" s="4" t="s">
        <v>20</v>
      </c>
      <c r="D145" s="21">
        <f t="shared" ref="D145:D151" si="95">SUM(E145:N145)</f>
        <v>4077.6527047525874</v>
      </c>
      <c r="E145" s="21">
        <f t="shared" ref="E145:N145" si="96">E124-E135</f>
        <v>-1072.7852408704</v>
      </c>
      <c r="F145" s="21">
        <f>F124-F135</f>
        <v>-307.67000572017798</v>
      </c>
      <c r="G145" s="21">
        <f t="shared" si="96"/>
        <v>-641.4954566881928</v>
      </c>
      <c r="H145" s="21">
        <f t="shared" si="96"/>
        <v>619.52731047550947</v>
      </c>
      <c r="I145" s="21">
        <f t="shared" si="96"/>
        <v>747.21405389986171</v>
      </c>
      <c r="J145" s="21">
        <f t="shared" si="96"/>
        <v>777.25954018420725</v>
      </c>
      <c r="K145" s="21">
        <f t="shared" si="96"/>
        <v>843.76638332521748</v>
      </c>
      <c r="L145" s="21">
        <f t="shared" si="96"/>
        <v>1206.4800248792344</v>
      </c>
      <c r="M145" s="21">
        <f t="shared" si="96"/>
        <v>1598.8123063035882</v>
      </c>
      <c r="N145" s="21">
        <f t="shared" si="96"/>
        <v>306.54378896373998</v>
      </c>
      <c r="O145" s="27"/>
    </row>
    <row r="146" spans="1:15" x14ac:dyDescent="0.25">
      <c r="A146" s="3" t="s">
        <v>44</v>
      </c>
      <c r="B146" s="4" t="s">
        <v>19</v>
      </c>
      <c r="C146" s="4" t="s">
        <v>20</v>
      </c>
      <c r="D146" s="21">
        <f t="shared" si="95"/>
        <v>3953.8311019197972</v>
      </c>
      <c r="E146" s="21">
        <f t="shared" ref="E146:N146" si="97">E145-E142</f>
        <v>-1072.7852408704</v>
      </c>
      <c r="F146" s="21">
        <f t="shared" si="97"/>
        <v>-307.67000572017798</v>
      </c>
      <c r="G146" s="21">
        <f t="shared" si="97"/>
        <v>-641.4954566881928</v>
      </c>
      <c r="H146" s="21">
        <f t="shared" si="97"/>
        <v>619.52731047550947</v>
      </c>
      <c r="I146" s="21">
        <f t="shared" si="97"/>
        <v>747.21405389986171</v>
      </c>
      <c r="J146" s="21">
        <f t="shared" si="97"/>
        <v>777.25954018420725</v>
      </c>
      <c r="K146" s="21">
        <f t="shared" si="97"/>
        <v>843.76638332521748</v>
      </c>
      <c r="L146" s="21">
        <f t="shared" si="97"/>
        <v>1206.4800248792344</v>
      </c>
      <c r="M146" s="21">
        <f t="shared" si="97"/>
        <v>1573.1308995608842</v>
      </c>
      <c r="N146" s="21">
        <f t="shared" si="97"/>
        <v>208.40359287365376</v>
      </c>
      <c r="O146" s="27"/>
    </row>
    <row r="147" spans="1:15" x14ac:dyDescent="0.25">
      <c r="A147" s="3" t="s">
        <v>45</v>
      </c>
      <c r="B147" s="4" t="s">
        <v>19</v>
      </c>
      <c r="C147" s="4" t="s">
        <v>20</v>
      </c>
      <c r="D147" s="21">
        <f t="shared" si="95"/>
        <v>1008.339577561326</v>
      </c>
      <c r="E147" s="21">
        <f>IF(SUM($E146)&gt;0,SUM(E146)*'Исходные данные'!$D$96,0)</f>
        <v>0</v>
      </c>
      <c r="F147" s="21">
        <f>IF(SUM($E146:F146)&gt;0,SUM($E146:F146)*'Исходные данные'!$D$96,0)</f>
        <v>0</v>
      </c>
      <c r="G147" s="21">
        <f>IF(SUM($E146:G146)&gt;0,SUM($E146:G146)*'Исходные данные'!$D$96,0)</f>
        <v>0</v>
      </c>
      <c r="H147" s="21">
        <f>IF(SUM($E146:H146)&gt;0,SUM($E146:H146)*'Исходные данные'!$D$96,0)</f>
        <v>0</v>
      </c>
      <c r="I147" s="21">
        <f>IF(SUM($E146:I146)&gt;0,SUM($E146:I146)*'Исходные данные'!$D$96,0)</f>
        <v>0</v>
      </c>
      <c r="J147" s="21">
        <f>IF(SUM($E146:J146)&gt;0,SUM($E146:J146)*'Исходные данные'!$D$96,0)</f>
        <v>24.410040256161484</v>
      </c>
      <c r="K147" s="21">
        <f>IF(SUM($E146:K146)&gt;0,SUM($E146:K146)*'Исходные данные'!$D$96,0)</f>
        <v>193.16331692120499</v>
      </c>
      <c r="L147" s="21">
        <f>IF(SUM($E146:L146)&gt;0,SUM($E146:L146)*'Исходные данные'!$D$96,0)</f>
        <v>434.45932189705184</v>
      </c>
      <c r="M147" s="21">
        <f>'Исходные данные'!$D$96*IF(M146&gt;0,M146,0)</f>
        <v>314.62617991217689</v>
      </c>
      <c r="N147" s="21">
        <f>'Исходные данные'!$D$96*IF(N146&gt;0,N146,0)</f>
        <v>41.680718574730754</v>
      </c>
      <c r="O147" s="27"/>
    </row>
    <row r="148" spans="1:15" x14ac:dyDescent="0.25">
      <c r="A148" s="28" t="s">
        <v>46</v>
      </c>
      <c r="B148" s="4" t="s">
        <v>19</v>
      </c>
      <c r="C148" s="4" t="s">
        <v>20</v>
      </c>
      <c r="D148" s="21">
        <f>SUM(E148:N148)</f>
        <v>2945.4915243584715</v>
      </c>
      <c r="E148" s="21">
        <f>E146-E147</f>
        <v>-1072.7852408704</v>
      </c>
      <c r="F148" s="21">
        <f t="shared" ref="F148:N148" si="98">F146-F147</f>
        <v>-307.67000572017798</v>
      </c>
      <c r="G148" s="21">
        <f t="shared" si="98"/>
        <v>-641.4954566881928</v>
      </c>
      <c r="H148" s="21">
        <f t="shared" si="98"/>
        <v>619.52731047550947</v>
      </c>
      <c r="I148" s="21">
        <f t="shared" si="98"/>
        <v>747.21405389986171</v>
      </c>
      <c r="J148" s="21">
        <f t="shared" si="98"/>
        <v>752.84949992804582</v>
      </c>
      <c r="K148" s="21">
        <f t="shared" si="98"/>
        <v>650.60306640401245</v>
      </c>
      <c r="L148" s="21">
        <f t="shared" si="98"/>
        <v>772.02070298218257</v>
      </c>
      <c r="M148" s="21">
        <f t="shared" si="98"/>
        <v>1258.5047196487074</v>
      </c>
      <c r="N148" s="21">
        <f t="shared" si="98"/>
        <v>166.72287429892302</v>
      </c>
      <c r="O148" s="27"/>
    </row>
    <row r="149" spans="1:15" x14ac:dyDescent="0.25">
      <c r="A149" s="28" t="s">
        <v>380</v>
      </c>
      <c r="B149" s="4" t="s">
        <v>19</v>
      </c>
      <c r="C149" s="4" t="s">
        <v>20</v>
      </c>
      <c r="D149" s="21">
        <f>SUM(E149:N149)</f>
        <v>981.85649244950287</v>
      </c>
      <c r="E149" s="21">
        <f>E148/(1+'Исходные данные'!$D$93)^E143</f>
        <v>-1072.7852408704</v>
      </c>
      <c r="F149" s="21">
        <f>F148/(1+'Исходные данные'!$D$93)^F143</f>
        <v>-279.7000052001618</v>
      </c>
      <c r="G149" s="21">
        <f>G148/(1+'Исходные данные'!$D$93)^G143</f>
        <v>-530.16153445305179</v>
      </c>
      <c r="H149" s="21">
        <f>H148/(1+'Исходные данные'!$D$93)^H143</f>
        <v>465.46003792299723</v>
      </c>
      <c r="I149" s="21">
        <f>I148/(1+'Исходные данные'!$D$93)^I143</f>
        <v>510.35725285148658</v>
      </c>
      <c r="J149" s="21">
        <f>J148/(1+'Исходные данные'!$D$93)^J143</f>
        <v>467.46030755974539</v>
      </c>
      <c r="K149" s="21">
        <f>K148/(1+'Исходные данные'!$D$93)^K143</f>
        <v>367.24846979811144</v>
      </c>
      <c r="L149" s="21">
        <f>L148/(1+'Исходные данные'!$D$93)^L143</f>
        <v>396.16869117748394</v>
      </c>
      <c r="M149" s="21">
        <f>M148/(1+'Исходные данные'!$D$93)^M143</f>
        <v>587.10173974490317</v>
      </c>
      <c r="N149" s="21">
        <f>N148/(1+'Исходные данные'!$D$93)^N143</f>
        <v>70.706773918388379</v>
      </c>
      <c r="O149" s="27"/>
    </row>
    <row r="150" spans="1:15" x14ac:dyDescent="0.25">
      <c r="A150" s="3" t="s">
        <v>47</v>
      </c>
      <c r="B150" s="4" t="s">
        <v>19</v>
      </c>
      <c r="C150" s="4" t="s">
        <v>20</v>
      </c>
      <c r="D150" s="21" t="s">
        <v>68</v>
      </c>
      <c r="E150" s="21">
        <f>E149</f>
        <v>-1072.7852408704</v>
      </c>
      <c r="F150" s="21">
        <f t="shared" ref="F150:N150" si="99">F149+E150</f>
        <v>-1352.4852460705617</v>
      </c>
      <c r="G150" s="21">
        <f t="shared" si="99"/>
        <v>-1882.6467805236134</v>
      </c>
      <c r="H150" s="21">
        <f t="shared" si="99"/>
        <v>-1417.1867426006161</v>
      </c>
      <c r="I150" s="21">
        <f t="shared" si="99"/>
        <v>-906.82948974912949</v>
      </c>
      <c r="J150" s="21">
        <f t="shared" si="99"/>
        <v>-439.36918218938411</v>
      </c>
      <c r="K150" s="21">
        <f t="shared" si="99"/>
        <v>-72.120712391272662</v>
      </c>
      <c r="L150" s="21">
        <f t="shared" si="99"/>
        <v>324.04797878621127</v>
      </c>
      <c r="M150" s="21">
        <f t="shared" si="99"/>
        <v>911.14971853111444</v>
      </c>
      <c r="N150" s="21">
        <f t="shared" si="99"/>
        <v>981.85649244950287</v>
      </c>
      <c r="O150" s="27"/>
    </row>
    <row r="151" spans="1:15" ht="18.75" thickBot="1" x14ac:dyDescent="0.3">
      <c r="A151" s="32" t="s">
        <v>381</v>
      </c>
      <c r="B151" s="29" t="s">
        <v>19</v>
      </c>
      <c r="C151" s="33" t="s">
        <v>20</v>
      </c>
      <c r="D151" s="153">
        <f t="shared" si="95"/>
        <v>7</v>
      </c>
      <c r="E151" s="21">
        <f>IF(AND(E150&gt;=0,C150&lt;0),E143,0)</f>
        <v>0</v>
      </c>
      <c r="F151" s="35">
        <f t="shared" ref="F151:N151" si="100">IF(AND(F150&gt;=0,E150&lt;0),F143,0)</f>
        <v>0</v>
      </c>
      <c r="G151" s="21">
        <f t="shared" si="100"/>
        <v>0</v>
      </c>
      <c r="H151" s="21">
        <f t="shared" si="100"/>
        <v>0</v>
      </c>
      <c r="I151" s="21">
        <f t="shared" si="100"/>
        <v>0</v>
      </c>
      <c r="J151" s="21">
        <f t="shared" si="100"/>
        <v>0</v>
      </c>
      <c r="K151" s="21">
        <f t="shared" si="100"/>
        <v>0</v>
      </c>
      <c r="L151" s="21">
        <f t="shared" si="100"/>
        <v>7</v>
      </c>
      <c r="M151" s="21">
        <f t="shared" si="100"/>
        <v>0</v>
      </c>
      <c r="N151" s="21">
        <f t="shared" si="100"/>
        <v>0</v>
      </c>
      <c r="O151" s="27"/>
    </row>
    <row r="152" spans="1:15" x14ac:dyDescent="0.25">
      <c r="A152" s="271" t="s">
        <v>422</v>
      </c>
      <c r="B152" s="34" t="s">
        <v>19</v>
      </c>
      <c r="C152" s="169" t="s">
        <v>24</v>
      </c>
      <c r="D152" s="359">
        <f>D148/(D135+D118)</f>
        <v>0.33103617845844169</v>
      </c>
      <c r="E152" s="267"/>
      <c r="F152" s="35"/>
      <c r="G152" s="21"/>
      <c r="H152" s="21"/>
      <c r="I152" s="21"/>
      <c r="J152" s="21"/>
      <c r="K152" s="21"/>
      <c r="L152" s="21"/>
      <c r="M152" s="21"/>
      <c r="N152" s="21"/>
    </row>
    <row r="153" spans="1:15" x14ac:dyDescent="0.25">
      <c r="A153" s="360" t="s">
        <v>490</v>
      </c>
      <c r="B153" s="270" t="s">
        <v>19</v>
      </c>
      <c r="C153" s="269" t="s">
        <v>24</v>
      </c>
      <c r="D153" s="361">
        <f>IRR(E148:N148)</f>
        <v>0.20073708706123727</v>
      </c>
      <c r="E153" s="267"/>
      <c r="F153" s="35"/>
      <c r="G153" s="21"/>
      <c r="H153" s="21"/>
      <c r="I153" s="21"/>
      <c r="J153" s="21"/>
      <c r="K153" s="21"/>
      <c r="L153" s="21"/>
      <c r="M153" s="21"/>
      <c r="N153" s="21"/>
    </row>
    <row r="154" spans="1:15" x14ac:dyDescent="0.25">
      <c r="A154" s="362" t="s">
        <v>78</v>
      </c>
      <c r="B154" s="272" t="s">
        <v>19</v>
      </c>
      <c r="C154" s="273" t="s">
        <v>21</v>
      </c>
      <c r="D154" s="363">
        <f>MAX(E151:N151)</f>
        <v>7</v>
      </c>
      <c r="E154" s="267"/>
      <c r="F154" s="35"/>
      <c r="G154" s="21"/>
      <c r="H154" s="21"/>
      <c r="I154" s="21"/>
      <c r="J154" s="21"/>
      <c r="K154" s="21"/>
      <c r="L154" s="21"/>
      <c r="M154" s="21"/>
      <c r="N154" s="21"/>
    </row>
    <row r="155" spans="1:15" x14ac:dyDescent="0.25">
      <c r="A155" s="362" t="s">
        <v>48</v>
      </c>
      <c r="B155" s="272" t="s">
        <v>19</v>
      </c>
      <c r="C155" s="273" t="s">
        <v>20</v>
      </c>
      <c r="D155" s="363">
        <f>D149</f>
        <v>981.85649244950287</v>
      </c>
      <c r="E155" s="267"/>
      <c r="F155" s="35"/>
      <c r="G155" s="21"/>
      <c r="H155" s="21"/>
      <c r="I155" s="21"/>
      <c r="J155" s="21"/>
      <c r="K155" s="21"/>
      <c r="L155" s="21"/>
      <c r="M155" s="21"/>
      <c r="N155" s="21"/>
    </row>
    <row r="156" spans="1:15" x14ac:dyDescent="0.25">
      <c r="A156" s="364" t="s">
        <v>423</v>
      </c>
      <c r="B156" s="272" t="s">
        <v>19</v>
      </c>
      <c r="C156" s="273" t="s">
        <v>24</v>
      </c>
      <c r="D156" s="365">
        <f>D149/D144</f>
        <v>0.16532657010658092</v>
      </c>
      <c r="E156" s="267"/>
      <c r="F156" s="35"/>
      <c r="G156" s="21"/>
      <c r="H156" s="21"/>
      <c r="I156" s="21"/>
      <c r="J156" s="21"/>
      <c r="K156" s="21"/>
      <c r="L156" s="21"/>
      <c r="M156" s="21"/>
      <c r="N156" s="21"/>
    </row>
    <row r="157" spans="1:15" x14ac:dyDescent="0.25">
      <c r="A157" s="364" t="s">
        <v>73</v>
      </c>
      <c r="B157" s="272" t="s">
        <v>19</v>
      </c>
      <c r="C157" s="273" t="s">
        <v>24</v>
      </c>
      <c r="D157" s="365">
        <f>D149/SUM(E157:N157)</f>
        <v>2.3141135132646715</v>
      </c>
      <c r="E157" s="358">
        <f>(E130+E133)/(1+'Исходные данные'!$D$93)^E143</f>
        <v>239.09535095039999</v>
      </c>
      <c r="F157" s="109">
        <f>(F130+F133)/(1+'Исходные данные'!$D$93)^F143</f>
        <v>63.960436760835542</v>
      </c>
      <c r="G157" s="109">
        <f>(G130+G133)/(1+'Исходные данные'!$D$93)^G143</f>
        <v>121.23476105459987</v>
      </c>
      <c r="H157" s="109">
        <f>(H130+H133)/(1+'Исходные данные'!$D$93)^H143</f>
        <v>0</v>
      </c>
      <c r="I157" s="109">
        <f>(I130+I133)/(1+'Исходные данные'!$D$93)^I143</f>
        <v>0</v>
      </c>
      <c r="J157" s="109">
        <f>(J130+J133)/(1+'Исходные данные'!$D$93)^J143</f>
        <v>0</v>
      </c>
      <c r="K157" s="109">
        <f>(K130+K133)/(1+'Исходные данные'!$D$93)^K143</f>
        <v>0</v>
      </c>
      <c r="L157" s="109">
        <f>(L130+L133)/(1+'Исходные данные'!$D$93)^L143</f>
        <v>0</v>
      </c>
      <c r="M157" s="109">
        <f>(M130+M133)/(1+'Исходные данные'!$D$93)^M143</f>
        <v>0</v>
      </c>
      <c r="N157" s="109">
        <f>(N130+N133)/(1+'Исходные данные'!$D$93)^N143</f>
        <v>0</v>
      </c>
    </row>
    <row r="158" spans="1:15" ht="18.75" thickBot="1" x14ac:dyDescent="0.3">
      <c r="A158" s="366" t="s">
        <v>451</v>
      </c>
      <c r="B158" s="367" t="s">
        <v>19</v>
      </c>
      <c r="C158" s="368" t="s">
        <v>24</v>
      </c>
      <c r="D158" s="369">
        <f>D148/(D130+D133)</f>
        <v>6.457345279912559</v>
      </c>
      <c r="E158" s="268"/>
      <c r="F158" s="35"/>
      <c r="G158" s="21"/>
      <c r="H158" s="21"/>
      <c r="I158" s="21"/>
      <c r="J158" s="21"/>
      <c r="K158" s="21"/>
      <c r="L158" s="21"/>
      <c r="M158" s="21"/>
      <c r="N158" s="21"/>
    </row>
    <row r="159" spans="1:15" ht="40.5" x14ac:dyDescent="0.25">
      <c r="A159" s="376" t="s">
        <v>470</v>
      </c>
      <c r="B159" s="370"/>
      <c r="C159" s="370"/>
      <c r="D159" s="371"/>
      <c r="E159" s="372"/>
      <c r="F159" s="373"/>
      <c r="G159" s="374"/>
      <c r="H159" s="374"/>
      <c r="I159" s="374"/>
      <c r="J159" s="374"/>
      <c r="K159" s="374"/>
      <c r="L159" s="374"/>
      <c r="M159" s="374"/>
      <c r="N159" s="374"/>
    </row>
    <row r="160" spans="1:15" s="348" customFormat="1" x14ac:dyDescent="0.25">
      <c r="A160" s="31" t="s">
        <v>580</v>
      </c>
      <c r="B160" s="39" t="s">
        <v>19</v>
      </c>
      <c r="C160" s="31" t="s">
        <v>20</v>
      </c>
      <c r="D160" s="39">
        <f t="shared" ref="D160:N160" si="101">SUM(D161:D164)</f>
        <v>578.40000000000009</v>
      </c>
      <c r="E160" s="39">
        <f t="shared" si="101"/>
        <v>63.715999999999973</v>
      </c>
      <c r="F160" s="39">
        <f t="shared" si="101"/>
        <v>63.715999999999973</v>
      </c>
      <c r="G160" s="39">
        <f t="shared" si="101"/>
        <v>63.715999999999973</v>
      </c>
      <c r="H160" s="39">
        <f t="shared" si="101"/>
        <v>1590.2240000000002</v>
      </c>
      <c r="I160" s="39">
        <f t="shared" si="101"/>
        <v>3053.0160000000005</v>
      </c>
      <c r="J160" s="39">
        <f t="shared" si="101"/>
        <v>4579.5240000000003</v>
      </c>
      <c r="K160" s="39">
        <f t="shared" si="101"/>
        <v>6106.0320000000011</v>
      </c>
      <c r="L160" s="39">
        <f t="shared" si="101"/>
        <v>7632.5400000000009</v>
      </c>
      <c r="M160" s="39">
        <f t="shared" si="101"/>
        <v>9159.0480000000007</v>
      </c>
      <c r="N160" s="39">
        <f t="shared" si="101"/>
        <v>9969.0480000000007</v>
      </c>
    </row>
    <row r="161" spans="1:15" x14ac:dyDescent="0.25">
      <c r="A161" s="3" t="s">
        <v>51</v>
      </c>
      <c r="B161" s="4" t="s">
        <v>19</v>
      </c>
      <c r="C161" s="4" t="s">
        <v>20</v>
      </c>
      <c r="D161" s="21">
        <f>D8*$D$43+D4*$D$44+D6*$D$45</f>
        <v>578.40000000000009</v>
      </c>
      <c r="E161" s="109">
        <f t="shared" ref="E161:N161" si="102">($D$8-E9)*$D$43+($D$4-E5)*$D$44+($D$6-E7)*$D$45</f>
        <v>63.715999999999973</v>
      </c>
      <c r="F161" s="109">
        <f t="shared" si="102"/>
        <v>63.715999999999973</v>
      </c>
      <c r="G161" s="109">
        <f t="shared" si="102"/>
        <v>63.715999999999973</v>
      </c>
      <c r="H161" s="109">
        <f t="shared" si="102"/>
        <v>63.715999999999973</v>
      </c>
      <c r="I161" s="109">
        <f t="shared" si="102"/>
        <v>0</v>
      </c>
      <c r="J161" s="109">
        <f t="shared" si="102"/>
        <v>0</v>
      </c>
      <c r="K161" s="109">
        <f t="shared" si="102"/>
        <v>0</v>
      </c>
      <c r="L161" s="109">
        <f t="shared" si="102"/>
        <v>0</v>
      </c>
      <c r="M161" s="109">
        <f t="shared" si="102"/>
        <v>0</v>
      </c>
      <c r="N161" s="109">
        <f t="shared" si="102"/>
        <v>0</v>
      </c>
    </row>
    <row r="162" spans="1:15" x14ac:dyDescent="0.25">
      <c r="A162" s="3" t="s">
        <v>50</v>
      </c>
      <c r="B162" s="4" t="s">
        <v>19</v>
      </c>
      <c r="C162" s="4" t="s">
        <v>20</v>
      </c>
      <c r="D162" s="4">
        <v>0</v>
      </c>
      <c r="E162" s="21">
        <f t="shared" ref="E162:N162" si="103">E19*$D$41</f>
        <v>0</v>
      </c>
      <c r="F162" s="21">
        <f t="shared" si="103"/>
        <v>0</v>
      </c>
      <c r="G162" s="21">
        <f t="shared" si="103"/>
        <v>0</v>
      </c>
      <c r="H162" s="21">
        <f t="shared" si="103"/>
        <v>1116.288</v>
      </c>
      <c r="I162" s="21">
        <f t="shared" si="103"/>
        <v>2232.576</v>
      </c>
      <c r="J162" s="21">
        <f t="shared" si="103"/>
        <v>3348.864</v>
      </c>
      <c r="K162" s="21">
        <f t="shared" si="103"/>
        <v>4465.152</v>
      </c>
      <c r="L162" s="21">
        <f t="shared" si="103"/>
        <v>5581.4400000000005</v>
      </c>
      <c r="M162" s="21">
        <f t="shared" si="103"/>
        <v>6697.7280000000001</v>
      </c>
      <c r="N162" s="21">
        <f t="shared" si="103"/>
        <v>6697.7280000000001</v>
      </c>
    </row>
    <row r="163" spans="1:15" x14ac:dyDescent="0.25">
      <c r="A163" s="3" t="s">
        <v>74</v>
      </c>
      <c r="B163" s="4" t="s">
        <v>19</v>
      </c>
      <c r="C163" s="4" t="s">
        <v>20</v>
      </c>
      <c r="D163" s="4">
        <v>0</v>
      </c>
      <c r="E163" s="21">
        <f t="shared" ref="E163:N163" si="104">E29*$D$46</f>
        <v>0</v>
      </c>
      <c r="F163" s="21">
        <f t="shared" si="104"/>
        <v>0</v>
      </c>
      <c r="G163" s="21">
        <f t="shared" si="104"/>
        <v>0</v>
      </c>
      <c r="H163" s="21">
        <f t="shared" si="104"/>
        <v>215.82000000000005</v>
      </c>
      <c r="I163" s="21">
        <f t="shared" si="104"/>
        <v>431.6400000000001</v>
      </c>
      <c r="J163" s="21">
        <f t="shared" si="104"/>
        <v>647.46</v>
      </c>
      <c r="K163" s="21">
        <f t="shared" si="104"/>
        <v>863.2800000000002</v>
      </c>
      <c r="L163" s="21">
        <f t="shared" si="104"/>
        <v>1079.1000000000001</v>
      </c>
      <c r="M163" s="21">
        <f t="shared" si="104"/>
        <v>1294.92</v>
      </c>
      <c r="N163" s="21">
        <f t="shared" si="104"/>
        <v>1294.92</v>
      </c>
    </row>
    <row r="164" spans="1:15" x14ac:dyDescent="0.25">
      <c r="A164" s="3" t="s">
        <v>584</v>
      </c>
      <c r="B164" s="4" t="s">
        <v>19</v>
      </c>
      <c r="C164" s="4" t="s">
        <v>20</v>
      </c>
      <c r="D164" s="4">
        <v>0</v>
      </c>
      <c r="E164" s="21">
        <f t="shared" ref="E164:N164" si="105">(E21+E23)*$D$47</f>
        <v>0</v>
      </c>
      <c r="F164" s="21">
        <f t="shared" si="105"/>
        <v>0</v>
      </c>
      <c r="G164" s="21">
        <f t="shared" si="105"/>
        <v>0</v>
      </c>
      <c r="H164" s="21">
        <f t="shared" si="105"/>
        <v>194.4</v>
      </c>
      <c r="I164" s="21">
        <f t="shared" si="105"/>
        <v>388.8</v>
      </c>
      <c r="J164" s="21">
        <f t="shared" si="105"/>
        <v>583.20000000000005</v>
      </c>
      <c r="K164" s="21">
        <f t="shared" si="105"/>
        <v>777.6</v>
      </c>
      <c r="L164" s="21">
        <f t="shared" si="105"/>
        <v>972.00000000000011</v>
      </c>
      <c r="M164" s="21">
        <f t="shared" si="105"/>
        <v>1166.4000000000001</v>
      </c>
      <c r="N164" s="21">
        <f t="shared" si="105"/>
        <v>1976.4</v>
      </c>
      <c r="O164" s="36"/>
    </row>
    <row r="165" spans="1:15" x14ac:dyDescent="0.25">
      <c r="A165" s="31" t="s">
        <v>581</v>
      </c>
      <c r="B165" s="39" t="s">
        <v>19</v>
      </c>
      <c r="C165" s="31" t="s">
        <v>20</v>
      </c>
      <c r="D165" s="159">
        <f>SUM(E165:N165)</f>
        <v>9969.0479999999989</v>
      </c>
      <c r="E165" s="159">
        <f t="shared" ref="E165:N165" si="106">(E123+E122+E18*E41)/E33</f>
        <v>0</v>
      </c>
      <c r="F165" s="159">
        <f t="shared" si="106"/>
        <v>0</v>
      </c>
      <c r="G165" s="159">
        <f t="shared" si="106"/>
        <v>0</v>
      </c>
      <c r="H165" s="159">
        <f t="shared" si="106"/>
        <v>1526.5079999999998</v>
      </c>
      <c r="I165" s="159">
        <f t="shared" si="106"/>
        <v>1526.5079999999998</v>
      </c>
      <c r="J165" s="159">
        <f t="shared" si="106"/>
        <v>1526.5079999999998</v>
      </c>
      <c r="K165" s="159">
        <f t="shared" si="106"/>
        <v>1526.5079999999998</v>
      </c>
      <c r="L165" s="159">
        <f t="shared" si="106"/>
        <v>1526.5079999999998</v>
      </c>
      <c r="M165" s="159">
        <f t="shared" si="106"/>
        <v>1526.508</v>
      </c>
      <c r="N165" s="159">
        <f t="shared" si="106"/>
        <v>810</v>
      </c>
    </row>
    <row r="166" spans="1:15" s="24" customFormat="1" x14ac:dyDescent="0.25">
      <c r="A166" s="158" t="s">
        <v>77</v>
      </c>
      <c r="B166" s="19" t="s">
        <v>19</v>
      </c>
      <c r="C166" s="19" t="s">
        <v>20</v>
      </c>
      <c r="D166" s="30">
        <f>SUM(E166:N166)</f>
        <v>5627.6279999999997</v>
      </c>
      <c r="E166" s="30">
        <f t="shared" ref="E166:N166" si="107">(E109+E110+E111+E112+E113+E114+E115+E118)/E33+(E18+E20)*$D$50</f>
        <v>0</v>
      </c>
      <c r="F166" s="30">
        <f t="shared" si="107"/>
        <v>14.807432418803575</v>
      </c>
      <c r="G166" s="30">
        <f t="shared" si="107"/>
        <v>30.799459431111437</v>
      </c>
      <c r="H166" s="30">
        <f t="shared" si="107"/>
        <v>841.23515671253392</v>
      </c>
      <c r="I166" s="30">
        <f t="shared" si="107"/>
        <v>841.23515671253381</v>
      </c>
      <c r="J166" s="30">
        <f t="shared" si="107"/>
        <v>843.15704298103526</v>
      </c>
      <c r="K166" s="30">
        <f t="shared" si="107"/>
        <v>843.15704298103526</v>
      </c>
      <c r="L166" s="30">
        <f t="shared" si="107"/>
        <v>827.83320313351783</v>
      </c>
      <c r="M166" s="30">
        <f t="shared" si="107"/>
        <v>811.20350562942929</v>
      </c>
      <c r="N166" s="30">
        <f t="shared" si="107"/>
        <v>574.20000000000005</v>
      </c>
    </row>
    <row r="167" spans="1:15" s="24" customFormat="1" x14ac:dyDescent="0.25">
      <c r="A167" s="158" t="s">
        <v>579</v>
      </c>
      <c r="B167" s="19" t="s">
        <v>19</v>
      </c>
      <c r="C167" s="19" t="s">
        <v>20</v>
      </c>
      <c r="D167" s="30">
        <f t="shared" ref="D167:D170" si="108">SUM(E167:N167)</f>
        <v>402.75076923076927</v>
      </c>
      <c r="E167" s="30">
        <f t="shared" ref="E167:N167" si="109">(E91+E92+(E72*E44+E83*E45)+E98)/E33</f>
        <v>402.75076923076927</v>
      </c>
      <c r="F167" s="30">
        <f t="shared" si="109"/>
        <v>0</v>
      </c>
      <c r="G167" s="30">
        <f t="shared" si="109"/>
        <v>0</v>
      </c>
      <c r="H167" s="30">
        <f t="shared" si="109"/>
        <v>0</v>
      </c>
      <c r="I167" s="30">
        <f t="shared" si="109"/>
        <v>0</v>
      </c>
      <c r="J167" s="30">
        <f t="shared" si="109"/>
        <v>0</v>
      </c>
      <c r="K167" s="30">
        <f t="shared" si="109"/>
        <v>0</v>
      </c>
      <c r="L167" s="30">
        <f t="shared" si="109"/>
        <v>0</v>
      </c>
      <c r="M167" s="30">
        <f t="shared" si="109"/>
        <v>0</v>
      </c>
      <c r="N167" s="30">
        <f t="shared" si="109"/>
        <v>0</v>
      </c>
    </row>
    <row r="168" spans="1:15" s="24" customFormat="1" x14ac:dyDescent="0.25">
      <c r="A168" s="158" t="s">
        <v>398</v>
      </c>
      <c r="B168" s="19" t="s">
        <v>19</v>
      </c>
      <c r="C168" s="19" t="s">
        <v>20</v>
      </c>
      <c r="D168" s="30">
        <f>SUM(E168:N168)</f>
        <v>662.47680000000003</v>
      </c>
      <c r="E168" s="30">
        <f t="shared" ref="E168:N168" si="110">(E66+E70+E71+E75+E79+E84+E85+E86)*E41/E33</f>
        <v>603.74400000000003</v>
      </c>
      <c r="F168" s="30">
        <f t="shared" si="110"/>
        <v>0</v>
      </c>
      <c r="G168" s="30">
        <f t="shared" si="110"/>
        <v>0</v>
      </c>
      <c r="H168" s="30">
        <f t="shared" si="110"/>
        <v>58.732799999999983</v>
      </c>
      <c r="I168" s="30">
        <f t="shared" si="110"/>
        <v>0</v>
      </c>
      <c r="J168" s="30">
        <f t="shared" si="110"/>
        <v>0</v>
      </c>
      <c r="K168" s="30">
        <f t="shared" si="110"/>
        <v>0</v>
      </c>
      <c r="L168" s="30">
        <f t="shared" si="110"/>
        <v>0</v>
      </c>
      <c r="M168" s="30">
        <f t="shared" si="110"/>
        <v>0</v>
      </c>
      <c r="N168" s="30">
        <f t="shared" si="110"/>
        <v>0</v>
      </c>
    </row>
    <row r="169" spans="1:15" s="24" customFormat="1" x14ac:dyDescent="0.25">
      <c r="A169" s="158" t="s">
        <v>79</v>
      </c>
      <c r="B169" s="19" t="s">
        <v>19</v>
      </c>
      <c r="C169" s="19" t="s">
        <v>20</v>
      </c>
      <c r="D169" s="30">
        <f t="shared" si="108"/>
        <v>913.24246831010976</v>
      </c>
      <c r="E169" s="30">
        <f t="shared" ref="E169:N169" si="111">(E147+E142+E119)/E33</f>
        <v>96.153846153846146</v>
      </c>
      <c r="F169" s="30">
        <f t="shared" si="111"/>
        <v>0</v>
      </c>
      <c r="G169" s="30">
        <f t="shared" si="111"/>
        <v>0</v>
      </c>
      <c r="H169" s="30">
        <f t="shared" si="111"/>
        <v>0</v>
      </c>
      <c r="I169" s="30">
        <f t="shared" si="111"/>
        <v>0</v>
      </c>
      <c r="J169" s="30">
        <f t="shared" si="111"/>
        <v>19.291609388102028</v>
      </c>
      <c r="K169" s="30">
        <f t="shared" si="111"/>
        <v>146.78824538561918</v>
      </c>
      <c r="L169" s="30">
        <f t="shared" si="111"/>
        <v>317.45517098197968</v>
      </c>
      <c r="M169" s="30">
        <f t="shared" si="111"/>
        <v>239.09559640056267</v>
      </c>
      <c r="N169" s="30">
        <f t="shared" si="111"/>
        <v>94.457999999999984</v>
      </c>
    </row>
    <row r="170" spans="1:15" s="24" customFormat="1" x14ac:dyDescent="0.25">
      <c r="A170" s="158" t="s">
        <v>452</v>
      </c>
      <c r="B170" s="19" t="s">
        <v>19</v>
      </c>
      <c r="C170" s="19" t="s">
        <v>20</v>
      </c>
      <c r="D170" s="30">
        <f t="shared" si="108"/>
        <v>2362.9499624591203</v>
      </c>
      <c r="E170" s="30">
        <f>E165-SUM(E166:E169)</f>
        <v>-1102.6486153846154</v>
      </c>
      <c r="F170" s="30">
        <f t="shared" ref="F170:N170" si="112">F165-SUM(F166:F169)</f>
        <v>-14.807432418803575</v>
      </c>
      <c r="G170" s="30">
        <f t="shared" si="112"/>
        <v>-30.799459431111437</v>
      </c>
      <c r="H170" s="30">
        <f>H165-SUM(H166:H169)</f>
        <v>626.54004328746589</v>
      </c>
      <c r="I170" s="30">
        <f t="shared" si="112"/>
        <v>685.272843287466</v>
      </c>
      <c r="J170" s="30">
        <f t="shared" si="112"/>
        <v>664.05934763086248</v>
      </c>
      <c r="K170" s="30">
        <f t="shared" si="112"/>
        <v>536.56271163334532</v>
      </c>
      <c r="L170" s="30">
        <f t="shared" si="112"/>
        <v>381.21962588450242</v>
      </c>
      <c r="M170" s="30">
        <f t="shared" si="112"/>
        <v>476.20889797000814</v>
      </c>
      <c r="N170" s="30">
        <f t="shared" si="112"/>
        <v>141.34199999999998</v>
      </c>
    </row>
    <row r="171" spans="1:15" x14ac:dyDescent="0.25">
      <c r="A171" s="31" t="s">
        <v>598</v>
      </c>
      <c r="B171" s="39" t="s">
        <v>587</v>
      </c>
      <c r="C171" s="39" t="s">
        <v>24</v>
      </c>
    </row>
    <row r="172" spans="1:15" x14ac:dyDescent="0.25">
      <c r="A172" s="39" t="s">
        <v>588</v>
      </c>
      <c r="B172" s="159">
        <f>D165</f>
        <v>9969.0479999999989</v>
      </c>
      <c r="C172" s="421">
        <v>1</v>
      </c>
    </row>
    <row r="173" spans="1:15" x14ac:dyDescent="0.25">
      <c r="A173" s="40" t="s">
        <v>77</v>
      </c>
      <c r="B173" s="165">
        <f>SUM(E166:N166)</f>
        <v>5627.6279999999997</v>
      </c>
      <c r="C173" s="164">
        <f>B173/$B$172</f>
        <v>0.56451007157353439</v>
      </c>
    </row>
    <row r="174" spans="1:15" ht="36" x14ac:dyDescent="0.25">
      <c r="A174" s="43" t="s">
        <v>400</v>
      </c>
      <c r="B174" s="165">
        <f>SUM(E167:N167)+SUM(E168:N168)</f>
        <v>1065.2275692307694</v>
      </c>
      <c r="C174" s="164">
        <f>B174/$B$172</f>
        <v>0.10685348984484472</v>
      </c>
    </row>
    <row r="175" spans="1:15" ht="21.75" customHeight="1" x14ac:dyDescent="0.25">
      <c r="A175" s="40" t="s">
        <v>613</v>
      </c>
      <c r="B175" s="165">
        <f>SUM(E170:N170)</f>
        <v>2362.9499624591203</v>
      </c>
      <c r="C175" s="164">
        <f>B175/$B$172</f>
        <v>0.23702864731508169</v>
      </c>
    </row>
    <row r="176" spans="1:15" ht="24" customHeight="1" x14ac:dyDescent="0.25">
      <c r="A176" s="40" t="s">
        <v>590</v>
      </c>
      <c r="B176" s="165">
        <f>SUM(E169:N169)</f>
        <v>913.24246831010976</v>
      </c>
      <c r="C176" s="164">
        <f>B176/$B$172</f>
        <v>9.1607791266539174E-2</v>
      </c>
    </row>
    <row r="177" spans="1:16" x14ac:dyDescent="0.25">
      <c r="A177" s="39" t="s">
        <v>589</v>
      </c>
      <c r="B177" s="159">
        <f>B172-D161</f>
        <v>9390.6479999999992</v>
      </c>
      <c r="C177" s="421">
        <v>1</v>
      </c>
    </row>
    <row r="178" spans="1:16" s="355" customFormat="1" x14ac:dyDescent="0.25">
      <c r="A178" s="40" t="s">
        <v>77</v>
      </c>
      <c r="B178" s="165">
        <f>B173</f>
        <v>5627.6279999999997</v>
      </c>
      <c r="C178" s="164">
        <f>B178/$B$177</f>
        <v>0.59928004968347237</v>
      </c>
      <c r="D178" s="46"/>
      <c r="E178" s="46"/>
      <c r="F178" s="46"/>
      <c r="G178" s="46"/>
      <c r="H178" s="46"/>
      <c r="I178" s="46"/>
      <c r="J178" s="46"/>
      <c r="K178" s="46"/>
      <c r="L178" s="46"/>
      <c r="M178" s="46"/>
      <c r="N178" s="46"/>
    </row>
    <row r="179" spans="1:16" s="24" customFormat="1" ht="36" x14ac:dyDescent="0.25">
      <c r="A179" s="43" t="s">
        <v>400</v>
      </c>
      <c r="B179" s="165">
        <f>B174-D161</f>
        <v>486.82756923076931</v>
      </c>
      <c r="C179" s="164">
        <f>B179/$B$177</f>
        <v>5.1841743959604211E-2</v>
      </c>
      <c r="D179" s="46"/>
      <c r="E179" s="46"/>
      <c r="F179" s="46"/>
      <c r="G179" s="46"/>
      <c r="H179" s="46"/>
      <c r="I179" s="46"/>
      <c r="J179" s="46"/>
      <c r="K179" s="46"/>
      <c r="L179" s="46"/>
      <c r="M179" s="46"/>
      <c r="N179" s="46"/>
    </row>
    <row r="180" spans="1:16" x14ac:dyDescent="0.25">
      <c r="A180" s="40" t="s">
        <v>613</v>
      </c>
      <c r="B180" s="165">
        <f>B175</f>
        <v>2362.9499624591203</v>
      </c>
      <c r="C180" s="164">
        <f>B180/$B$177</f>
        <v>0.25162799867049862</v>
      </c>
    </row>
    <row r="181" spans="1:16" s="355" customFormat="1" x14ac:dyDescent="0.25">
      <c r="A181" s="40" t="s">
        <v>590</v>
      </c>
      <c r="B181" s="165">
        <f>B176</f>
        <v>913.24246831010976</v>
      </c>
      <c r="C181" s="164">
        <f>B181/$B$177</f>
        <v>9.7250207686424811E-2</v>
      </c>
      <c r="D181" s="46"/>
      <c r="E181" s="46"/>
      <c r="F181" s="46"/>
      <c r="G181" s="46"/>
      <c r="H181" s="46"/>
      <c r="I181" s="46"/>
      <c r="J181" s="46"/>
      <c r="K181" s="46"/>
      <c r="L181" s="46"/>
      <c r="M181" s="46"/>
      <c r="N181" s="46"/>
    </row>
    <row r="182" spans="1:16" s="355" customFormat="1" ht="20.25" x14ac:dyDescent="0.25">
      <c r="A182" s="377" t="s">
        <v>591</v>
      </c>
      <c r="B182" s="375"/>
      <c r="C182" s="375"/>
      <c r="D182" s="375"/>
      <c r="E182" s="374"/>
      <c r="F182" s="374"/>
      <c r="G182" s="374"/>
      <c r="H182" s="374"/>
      <c r="I182" s="374"/>
      <c r="J182" s="374"/>
      <c r="K182" s="374"/>
      <c r="L182" s="374"/>
      <c r="M182" s="374"/>
      <c r="N182" s="374"/>
    </row>
    <row r="183" spans="1:16" x14ac:dyDescent="0.25">
      <c r="A183" s="37" t="s">
        <v>595</v>
      </c>
      <c r="B183" s="37"/>
      <c r="C183" s="37"/>
      <c r="D183" s="37"/>
      <c r="E183" s="37"/>
      <c r="F183" s="37"/>
      <c r="G183" s="37"/>
      <c r="H183" s="37"/>
      <c r="I183" s="37"/>
      <c r="J183" s="37"/>
      <c r="K183" s="37"/>
      <c r="L183" s="37"/>
      <c r="M183" s="37"/>
      <c r="N183" s="37"/>
    </row>
    <row r="184" spans="1:16" x14ac:dyDescent="0.25">
      <c r="A184" s="350" t="s">
        <v>583</v>
      </c>
      <c r="B184" s="351" t="s">
        <v>19</v>
      </c>
      <c r="C184" s="351" t="s">
        <v>20</v>
      </c>
      <c r="D184" s="4"/>
      <c r="E184" s="21">
        <f>SUM(E185:E188)</f>
        <v>0</v>
      </c>
      <c r="F184" s="21">
        <f t="shared" ref="F184:N184" si="113">SUM(F185:F188)</f>
        <v>0</v>
      </c>
      <c r="G184" s="21">
        <f t="shared" si="113"/>
        <v>0</v>
      </c>
      <c r="H184" s="21">
        <f t="shared" si="113"/>
        <v>8.6035703581900815</v>
      </c>
      <c r="I184" s="21">
        <f t="shared" si="113"/>
        <v>17.895426345035368</v>
      </c>
      <c r="J184" s="21">
        <f t="shared" si="113"/>
        <v>27.91686509825518</v>
      </c>
      <c r="K184" s="21">
        <f t="shared" si="113"/>
        <v>38.711386269580522</v>
      </c>
      <c r="L184" s="21">
        <f t="shared" si="113"/>
        <v>50.324802150454687</v>
      </c>
      <c r="M184" s="21">
        <f t="shared" si="113"/>
        <v>62.805353083767443</v>
      </c>
      <c r="N184" s="21">
        <f t="shared" si="113"/>
        <v>91.096021428971127</v>
      </c>
    </row>
    <row r="185" spans="1:16" x14ac:dyDescent="0.25">
      <c r="A185" s="7" t="s">
        <v>55</v>
      </c>
      <c r="B185" s="4" t="s">
        <v>19</v>
      </c>
      <c r="C185" s="4" t="s">
        <v>20</v>
      </c>
      <c r="D185" s="38"/>
      <c r="E185" s="21">
        <f>'Исходные данные'!$D$97*(E21+E23)*E47</f>
        <v>0</v>
      </c>
      <c r="F185" s="21">
        <f>'Исходные данные'!$D$97*(F21+F23)*F47</f>
        <v>0</v>
      </c>
      <c r="G185" s="21">
        <f>'Исходные данные'!$D$97*(G21+G23)*G47</f>
        <v>0</v>
      </c>
      <c r="H185" s="21">
        <f>'Исходные данные'!$D$97*(H21+H23)*H47</f>
        <v>4.548410081280001</v>
      </c>
      <c r="I185" s="21">
        <f>'Исходные данные'!$D$97*(I21+I23)*I47</f>
        <v>9.4606929690624018</v>
      </c>
      <c r="J185" s="21">
        <f>'Исходные данные'!$D$97*(J21+J23)*J47</f>
        <v>14.75868103173735</v>
      </c>
      <c r="K185" s="21">
        <f>'Исходные данные'!$D$97*(K21+K23)*K47</f>
        <v>20.46537103067579</v>
      </c>
      <c r="L185" s="21">
        <f>'Исходные данные'!$D$97*(L21+L23)*L47</f>
        <v>26.604982339878532</v>
      </c>
      <c r="M185" s="21">
        <f>'Исходные данные'!$D$97*(M21+M23)*M47</f>
        <v>33.20301796016841</v>
      </c>
      <c r="N185" s="21">
        <f>'Исходные данные'!$D$97*(N21+N23)*N47</f>
        <v>58.511096094252331</v>
      </c>
    </row>
    <row r="186" spans="1:16" x14ac:dyDescent="0.25">
      <c r="A186" s="57" t="s">
        <v>395</v>
      </c>
      <c r="B186" s="4" t="s">
        <v>19</v>
      </c>
      <c r="C186" s="4" t="s">
        <v>20</v>
      </c>
      <c r="D186" s="20"/>
      <c r="E186" s="21">
        <f>'Исходные данные'!$D$98*E199</f>
        <v>0</v>
      </c>
      <c r="F186" s="21">
        <f>'Исходные данные'!$D$98*F199</f>
        <v>0</v>
      </c>
      <c r="G186" s="21">
        <f>'Исходные данные'!$D$98*G199</f>
        <v>0</v>
      </c>
      <c r="H186" s="21">
        <f>'Исходные данные'!$D$98*H199</f>
        <v>2.7492612046848008</v>
      </c>
      <c r="I186" s="21">
        <f>'Исходные данные'!$D$98*I199</f>
        <v>5.7184633057443852</v>
      </c>
      <c r="J186" s="21">
        <f>'Исходные данные'!$D$98*J199</f>
        <v>8.9208027569612423</v>
      </c>
      <c r="K186" s="21">
        <f>'Исходные данные'!$D$98*K199</f>
        <v>12.370179822986257</v>
      </c>
      <c r="L186" s="21">
        <f>'Исходные данные'!$D$98*L199</f>
        <v>16.081233769882139</v>
      </c>
      <c r="M186" s="21">
        <f>'Исходные данные'!$D$98*M199</f>
        <v>20.06937974481291</v>
      </c>
      <c r="N186" s="21">
        <f>'Исходные данные'!$D$98*N199</f>
        <v>20.872154934605426</v>
      </c>
    </row>
    <row r="187" spans="1:16" x14ac:dyDescent="0.25">
      <c r="A187" s="57" t="s">
        <v>396</v>
      </c>
      <c r="B187" s="4" t="s">
        <v>19</v>
      </c>
      <c r="C187" s="4" t="s">
        <v>20</v>
      </c>
      <c r="D187" s="89"/>
      <c r="E187" s="21">
        <f>'Исходные данные'!$D$99*E19*'Экономическая модель проекта'!E41</f>
        <v>0</v>
      </c>
      <c r="F187" s="21">
        <f>'Исходные данные'!$D$99*F19*'Экономическая модель проекта'!F41</f>
        <v>0</v>
      </c>
      <c r="G187" s="21">
        <f>'Исходные данные'!$D$99*G19*'Экономическая модель проекта'!G41</f>
        <v>0</v>
      </c>
      <c r="H187" s="21">
        <f>'Исходные данные'!$D$99*H19*'Экономическая модель проекта'!H41</f>
        <v>1.3058990722252803</v>
      </c>
      <c r="I187" s="21">
        <f>'Исходные данные'!$D$99*I19*'Экономическая модель проекта'!I41</f>
        <v>2.7162700702285831</v>
      </c>
      <c r="J187" s="21">
        <f>'Исходные данные'!$D$99*J19*'Экономическая модель проекта'!J41</f>
        <v>4.2373813095565902</v>
      </c>
      <c r="K187" s="21">
        <f>'Исходные данные'!$D$99*K19*'Экономическая модель проекта'!K41</f>
        <v>5.8758354159184716</v>
      </c>
      <c r="L187" s="21">
        <f>'Исходные данные'!$D$99*L19*'Экономическая модель проекта'!L41</f>
        <v>7.6385860406940127</v>
      </c>
      <c r="M187" s="21">
        <f>'Исходные данные'!$D$99*M19*'Экономическая модель проекта'!M41</f>
        <v>9.5329553787861272</v>
      </c>
      <c r="N187" s="21">
        <f>'Исходные данные'!$D$99*N19*'Экономическая модель проекта'!N41</f>
        <v>9.9142735939375743</v>
      </c>
    </row>
    <row r="188" spans="1:16" x14ac:dyDescent="0.25">
      <c r="A188" s="3" t="s">
        <v>56</v>
      </c>
      <c r="B188" s="4" t="s">
        <v>19</v>
      </c>
      <c r="C188" s="4" t="s">
        <v>20</v>
      </c>
      <c r="D188" s="38"/>
      <c r="E188" s="21">
        <f>0.1*(E23)*E47*'Исходные данные'!$D$100</f>
        <v>0</v>
      </c>
      <c r="F188" s="21">
        <f>0.1*(F23)*F47*'Исходные данные'!$D$100</f>
        <v>0</v>
      </c>
      <c r="G188" s="21">
        <f>0.1*(G23)*G47*'Исходные данные'!$D$100</f>
        <v>0</v>
      </c>
      <c r="H188" s="21">
        <f>0.1*(H23)*H47*'Исходные данные'!$D$100</f>
        <v>0</v>
      </c>
      <c r="I188" s="21">
        <f>0.1*(I23)*I47*'Исходные данные'!$D$100</f>
        <v>0</v>
      </c>
      <c r="J188" s="21">
        <f>0.1*(J23)*J47*'Исходные данные'!$D$100</f>
        <v>0</v>
      </c>
      <c r="K188" s="21">
        <f>0.1*(K23)*K47*'Исходные данные'!$D$100</f>
        <v>0</v>
      </c>
      <c r="L188" s="21">
        <f>0.1*(L23)*L47*'Исходные данные'!$D$100</f>
        <v>0</v>
      </c>
      <c r="M188" s="21">
        <f>0.1*(M23)*M47*'Исходные данные'!$D$100</f>
        <v>0</v>
      </c>
      <c r="N188" s="21">
        <f>0.1*(N23)*N47*'Исходные данные'!$D$100</f>
        <v>1.7984968061757889</v>
      </c>
      <c r="P188" s="45"/>
    </row>
    <row r="189" spans="1:16" ht="54" x14ac:dyDescent="0.25">
      <c r="A189" s="352" t="s">
        <v>592</v>
      </c>
      <c r="B189" s="347" t="s">
        <v>19</v>
      </c>
      <c r="C189" s="347" t="s">
        <v>20</v>
      </c>
      <c r="D189" s="353">
        <v>0.02</v>
      </c>
      <c r="E189" s="354">
        <f t="shared" ref="E189:N189" si="114">$D$189*SUM(E191:E191)</f>
        <v>0</v>
      </c>
      <c r="F189" s="354">
        <f t="shared" si="114"/>
        <v>0</v>
      </c>
      <c r="G189" s="354">
        <f t="shared" si="114"/>
        <v>0</v>
      </c>
      <c r="H189" s="354">
        <f t="shared" si="114"/>
        <v>3.5654481248256009</v>
      </c>
      <c r="I189" s="354">
        <f t="shared" si="114"/>
        <v>7.2735141746442258</v>
      </c>
      <c r="J189" s="354">
        <f t="shared" si="114"/>
        <v>11.129902866455595</v>
      </c>
      <c r="K189" s="354">
        <f t="shared" si="114"/>
        <v>15.140547105939421</v>
      </c>
      <c r="L189" s="354">
        <f t="shared" si="114"/>
        <v>19.311617115002598</v>
      </c>
      <c r="M189" s="354">
        <f t="shared" si="114"/>
        <v>23.649529924428304</v>
      </c>
      <c r="N189" s="354">
        <f t="shared" si="114"/>
        <v>23.649529924428304</v>
      </c>
    </row>
    <row r="190" spans="1:16" x14ac:dyDescent="0.25">
      <c r="A190" s="10" t="s">
        <v>54</v>
      </c>
      <c r="B190" s="19" t="s">
        <v>19</v>
      </c>
      <c r="C190" s="19" t="s">
        <v>20</v>
      </c>
      <c r="D190" s="118">
        <f>SUM(E190:N190)</f>
        <v>5186.0044617862022</v>
      </c>
      <c r="E190" s="118">
        <f t="shared" ref="E190:N190" si="115">SUM(E191:E191)</f>
        <v>0</v>
      </c>
      <c r="F190" s="118">
        <f t="shared" si="115"/>
        <v>0</v>
      </c>
      <c r="G190" s="118">
        <f t="shared" si="115"/>
        <v>0</v>
      </c>
      <c r="H190" s="118">
        <f t="shared" si="115"/>
        <v>178.27240624128004</v>
      </c>
      <c r="I190" s="118">
        <f t="shared" si="115"/>
        <v>363.67570873221126</v>
      </c>
      <c r="J190" s="118">
        <f t="shared" si="115"/>
        <v>556.49514332277977</v>
      </c>
      <c r="K190" s="118">
        <f t="shared" si="115"/>
        <v>757.027355296971</v>
      </c>
      <c r="L190" s="118">
        <f t="shared" si="115"/>
        <v>965.5808557501299</v>
      </c>
      <c r="M190" s="118">
        <f t="shared" si="115"/>
        <v>1182.4764962214151</v>
      </c>
      <c r="N190" s="118">
        <f t="shared" si="115"/>
        <v>1182.4764962214151</v>
      </c>
    </row>
    <row r="191" spans="1:16" x14ac:dyDescent="0.25">
      <c r="A191" s="7" t="s">
        <v>582</v>
      </c>
      <c r="B191" s="4" t="s">
        <v>19</v>
      </c>
      <c r="C191" s="4" t="s">
        <v>20</v>
      </c>
      <c r="D191" s="20"/>
      <c r="E191" s="21">
        <f>SUM(E110:E113)+E118</f>
        <v>0</v>
      </c>
      <c r="F191" s="21">
        <f t="shared" ref="F191:N191" si="116">SUM(F110:F113)+E191+F118</f>
        <v>0</v>
      </c>
      <c r="G191" s="21">
        <f t="shared" si="116"/>
        <v>0</v>
      </c>
      <c r="H191" s="21">
        <f t="shared" si="116"/>
        <v>178.27240624128004</v>
      </c>
      <c r="I191" s="21">
        <f t="shared" si="116"/>
        <v>363.67570873221126</v>
      </c>
      <c r="J191" s="21">
        <f t="shared" si="116"/>
        <v>556.49514332277977</v>
      </c>
      <c r="K191" s="21">
        <f t="shared" si="116"/>
        <v>757.027355296971</v>
      </c>
      <c r="L191" s="21">
        <f t="shared" si="116"/>
        <v>965.5808557501299</v>
      </c>
      <c r="M191" s="21">
        <f t="shared" si="116"/>
        <v>1182.4764962214151</v>
      </c>
      <c r="N191" s="21">
        <f t="shared" si="116"/>
        <v>1182.4764962214151</v>
      </c>
    </row>
    <row r="192" spans="1:16" x14ac:dyDescent="0.25">
      <c r="A192" s="356" t="s">
        <v>593</v>
      </c>
      <c r="B192" s="347" t="s">
        <v>19</v>
      </c>
      <c r="C192" s="347" t="s">
        <v>20</v>
      </c>
      <c r="D192" s="356"/>
      <c r="E192" s="357">
        <f>E187+E188-E189</f>
        <v>0</v>
      </c>
      <c r="F192" s="357">
        <f t="shared" ref="F192:N192" si="117">F187+F188-F189</f>
        <v>0</v>
      </c>
      <c r="G192" s="357">
        <f t="shared" si="117"/>
        <v>0</v>
      </c>
      <c r="H192" s="357">
        <f t="shared" si="117"/>
        <v>-2.2595490526003204</v>
      </c>
      <c r="I192" s="357">
        <f t="shared" si="117"/>
        <v>-4.5572441044156431</v>
      </c>
      <c r="J192" s="357">
        <f t="shared" si="117"/>
        <v>-6.8925215568990046</v>
      </c>
      <c r="K192" s="357">
        <f t="shared" si="117"/>
        <v>-9.264711690020949</v>
      </c>
      <c r="L192" s="357">
        <f t="shared" si="117"/>
        <v>-11.673031074308586</v>
      </c>
      <c r="M192" s="357">
        <f t="shared" si="117"/>
        <v>-14.116574545642177</v>
      </c>
      <c r="N192" s="357">
        <f t="shared" si="117"/>
        <v>-11.93675952431494</v>
      </c>
    </row>
    <row r="193" spans="1:14" x14ac:dyDescent="0.25">
      <c r="A193" s="356" t="s">
        <v>594</v>
      </c>
      <c r="B193" s="347" t="s">
        <v>19</v>
      </c>
      <c r="C193" s="347" t="s">
        <v>20</v>
      </c>
      <c r="D193" s="353"/>
      <c r="E193" s="354">
        <f>E185+E186</f>
        <v>0</v>
      </c>
      <c r="F193" s="354">
        <f t="shared" ref="F193:N193" si="118">F185+F186</f>
        <v>0</v>
      </c>
      <c r="G193" s="354">
        <f t="shared" si="118"/>
        <v>0</v>
      </c>
      <c r="H193" s="354">
        <f t="shared" si="118"/>
        <v>7.2976712859648014</v>
      </c>
      <c r="I193" s="354">
        <f t="shared" si="118"/>
        <v>15.179156274806786</v>
      </c>
      <c r="J193" s="354">
        <f t="shared" si="118"/>
        <v>23.67948378869859</v>
      </c>
      <c r="K193" s="354">
        <f t="shared" si="118"/>
        <v>32.835550853662049</v>
      </c>
      <c r="L193" s="354">
        <f t="shared" si="118"/>
        <v>42.686216109760672</v>
      </c>
      <c r="M193" s="354">
        <f t="shared" si="118"/>
        <v>53.272397704981316</v>
      </c>
      <c r="N193" s="354">
        <f t="shared" si="118"/>
        <v>79.383251028857757</v>
      </c>
    </row>
    <row r="194" spans="1:14" x14ac:dyDescent="0.25">
      <c r="A194" s="160" t="s">
        <v>387</v>
      </c>
      <c r="B194" s="160"/>
      <c r="C194" s="160"/>
      <c r="D194" s="160"/>
      <c r="E194" s="160"/>
      <c r="F194" s="160"/>
      <c r="G194" s="160"/>
      <c r="H194" s="160"/>
      <c r="I194" s="160"/>
      <c r="J194" s="160"/>
      <c r="K194" s="160"/>
      <c r="L194" s="160"/>
      <c r="M194" s="160"/>
      <c r="N194" s="160"/>
    </row>
    <row r="195" spans="1:14" x14ac:dyDescent="0.25">
      <c r="A195" s="40" t="s">
        <v>57</v>
      </c>
      <c r="B195" s="4" t="s">
        <v>19</v>
      </c>
      <c r="C195" s="4" t="s">
        <v>391</v>
      </c>
      <c r="D195" s="4"/>
      <c r="E195" s="44">
        <f>E19*1000/'Градостроительная модель'!$E$73</f>
        <v>0</v>
      </c>
      <c r="F195" s="44">
        <f>F19*1000/'Градостроительная модель'!$E$73</f>
        <v>0</v>
      </c>
      <c r="G195" s="44">
        <f>G19*1000/'Градостроительная модель'!$E$73</f>
        <v>0</v>
      </c>
      <c r="H195" s="44">
        <f>H19*1000/'Градостроительная модель'!$E$73</f>
        <v>408</v>
      </c>
      <c r="I195" s="44">
        <f>I19*1000/'Градостроительная модель'!$E$73</f>
        <v>816</v>
      </c>
      <c r="J195" s="44">
        <f>J19*1000/'Градостроительная модель'!$E$73</f>
        <v>1224</v>
      </c>
      <c r="K195" s="44">
        <f>K19*1000/'Градостроительная модель'!$E$73</f>
        <v>1632</v>
      </c>
      <c r="L195" s="44">
        <f>L19*1000/'Градостроительная модель'!$E$73</f>
        <v>2040</v>
      </c>
      <c r="M195" s="44">
        <f>M19*1000/'Градостроительная модель'!$E$73</f>
        <v>2448</v>
      </c>
      <c r="N195" s="44">
        <f>N19*1000/'Градостроительная модель'!$E$73</f>
        <v>2448</v>
      </c>
    </row>
    <row r="196" spans="1:14" x14ac:dyDescent="0.25">
      <c r="A196" s="40" t="s">
        <v>60</v>
      </c>
      <c r="B196" s="4" t="s">
        <v>125</v>
      </c>
      <c r="C196" s="4" t="s">
        <v>58</v>
      </c>
      <c r="D196" s="42">
        <f>'Исходные данные'!D90</f>
        <v>40</v>
      </c>
      <c r="E196" s="42">
        <f>'Исходные данные'!D90*E32</f>
        <v>41.6</v>
      </c>
      <c r="F196" s="42">
        <f t="shared" ref="F196:N196" si="119">E196*F32</f>
        <v>43.264000000000003</v>
      </c>
      <c r="G196" s="42">
        <f t="shared" si="119"/>
        <v>44.994560000000007</v>
      </c>
      <c r="H196" s="42">
        <f t="shared" si="119"/>
        <v>46.794342400000012</v>
      </c>
      <c r="I196" s="42">
        <f t="shared" si="119"/>
        <v>48.666116096000017</v>
      </c>
      <c r="J196" s="42">
        <f t="shared" si="119"/>
        <v>50.61276073984002</v>
      </c>
      <c r="K196" s="42">
        <f t="shared" si="119"/>
        <v>52.637271169433625</v>
      </c>
      <c r="L196" s="42">
        <f t="shared" si="119"/>
        <v>54.742762016210975</v>
      </c>
      <c r="M196" s="42">
        <f t="shared" si="119"/>
        <v>56.932472496859418</v>
      </c>
      <c r="N196" s="42">
        <f t="shared" si="119"/>
        <v>59.2097713967338</v>
      </c>
    </row>
    <row r="197" spans="1:14" x14ac:dyDescent="0.25">
      <c r="A197" s="40" t="s">
        <v>61</v>
      </c>
      <c r="B197" s="4" t="s">
        <v>19</v>
      </c>
      <c r="C197" s="4" t="s">
        <v>585</v>
      </c>
      <c r="D197" s="4"/>
      <c r="E197" s="21">
        <f>E196*12*E195/1000</f>
        <v>0</v>
      </c>
      <c r="F197" s="21">
        <f t="shared" ref="F197:N197" si="120">F196*12*F195/1000</f>
        <v>0</v>
      </c>
      <c r="G197" s="21">
        <f t="shared" si="120"/>
        <v>0</v>
      </c>
      <c r="H197" s="21">
        <f t="shared" si="120"/>
        <v>229.10510039040008</v>
      </c>
      <c r="I197" s="21">
        <f t="shared" si="120"/>
        <v>476.53860881203212</v>
      </c>
      <c r="J197" s="21">
        <f t="shared" si="120"/>
        <v>743.40022974677026</v>
      </c>
      <c r="K197" s="21">
        <f t="shared" si="120"/>
        <v>1030.8483185821881</v>
      </c>
      <c r="L197" s="21">
        <f t="shared" si="120"/>
        <v>1340.1028141568447</v>
      </c>
      <c r="M197" s="21">
        <f t="shared" si="120"/>
        <v>1672.4483120677423</v>
      </c>
      <c r="N197" s="21">
        <f t="shared" si="120"/>
        <v>1739.3462445504522</v>
      </c>
    </row>
    <row r="198" spans="1:14" x14ac:dyDescent="0.25">
      <c r="A198" s="40" t="s">
        <v>497</v>
      </c>
      <c r="B198" s="4" t="s">
        <v>19</v>
      </c>
      <c r="C198" s="4" t="s">
        <v>585</v>
      </c>
      <c r="D198" s="20">
        <v>0.7</v>
      </c>
      <c r="E198" s="21">
        <f>E197*$D$198</f>
        <v>0</v>
      </c>
      <c r="F198" s="21">
        <f t="shared" ref="F198:N198" si="121">F197*$D$198</f>
        <v>0</v>
      </c>
      <c r="G198" s="21">
        <f t="shared" si="121"/>
        <v>0</v>
      </c>
      <c r="H198" s="21">
        <f t="shared" si="121"/>
        <v>160.37357027328005</v>
      </c>
      <c r="I198" s="21">
        <f t="shared" si="121"/>
        <v>333.57702616842249</v>
      </c>
      <c r="J198" s="21">
        <f t="shared" si="121"/>
        <v>520.38016082273919</v>
      </c>
      <c r="K198" s="21">
        <f t="shared" si="121"/>
        <v>721.59382300753157</v>
      </c>
      <c r="L198" s="21">
        <f t="shared" si="121"/>
        <v>938.07196990979128</v>
      </c>
      <c r="M198" s="21">
        <f t="shared" si="121"/>
        <v>1170.7138184474195</v>
      </c>
      <c r="N198" s="21">
        <f t="shared" si="121"/>
        <v>1217.5423711853164</v>
      </c>
    </row>
    <row r="199" spans="1:14" x14ac:dyDescent="0.25">
      <c r="A199" s="43" t="s">
        <v>59</v>
      </c>
      <c r="B199" s="4" t="s">
        <v>19</v>
      </c>
      <c r="C199" s="4" t="s">
        <v>585</v>
      </c>
      <c r="D199" s="20">
        <v>0.2</v>
      </c>
      <c r="E199" s="18">
        <f>$D$199*E197</f>
        <v>0</v>
      </c>
      <c r="F199" s="18">
        <f t="shared" ref="F199:N199" si="122">$D$199*F197</f>
        <v>0</v>
      </c>
      <c r="G199" s="18">
        <f t="shared" si="122"/>
        <v>0</v>
      </c>
      <c r="H199" s="18">
        <f t="shared" si="122"/>
        <v>45.821020078080018</v>
      </c>
      <c r="I199" s="18">
        <f t="shared" si="122"/>
        <v>95.30772176240643</v>
      </c>
      <c r="J199" s="18">
        <f t="shared" si="122"/>
        <v>148.68004594935405</v>
      </c>
      <c r="K199" s="18">
        <f t="shared" si="122"/>
        <v>206.16966371643764</v>
      </c>
      <c r="L199" s="18">
        <f t="shared" si="122"/>
        <v>268.02056283136898</v>
      </c>
      <c r="M199" s="18">
        <f t="shared" si="122"/>
        <v>334.4896624135485</v>
      </c>
      <c r="N199" s="18">
        <f t="shared" si="122"/>
        <v>347.86924891009045</v>
      </c>
    </row>
    <row r="200" spans="1:14" ht="40.5" x14ac:dyDescent="0.3">
      <c r="A200" s="422" t="s">
        <v>471</v>
      </c>
      <c r="B200" s="423"/>
      <c r="C200" s="400"/>
      <c r="D200" s="400"/>
      <c r="E200" s="424"/>
      <c r="F200" s="424"/>
      <c r="G200" s="424"/>
      <c r="H200" s="424"/>
      <c r="I200" s="424"/>
      <c r="J200" s="424"/>
      <c r="K200" s="424"/>
      <c r="L200" s="424"/>
      <c r="M200" s="424"/>
      <c r="N200" s="424"/>
    </row>
    <row r="201" spans="1:14" x14ac:dyDescent="0.25">
      <c r="A201" s="7" t="s">
        <v>477</v>
      </c>
      <c r="B201" s="4" t="s">
        <v>19</v>
      </c>
      <c r="C201" s="4" t="s">
        <v>393</v>
      </c>
      <c r="D201" s="18">
        <f>D97+D98+D99+D118</f>
        <v>87.346959874559985</v>
      </c>
      <c r="E201" s="163"/>
      <c r="F201" s="163"/>
      <c r="G201" s="163"/>
      <c r="H201" s="163"/>
      <c r="I201" s="163"/>
      <c r="J201" s="163"/>
      <c r="K201" s="163"/>
      <c r="L201" s="163"/>
      <c r="M201" s="163"/>
      <c r="N201" s="163"/>
    </row>
    <row r="202" spans="1:14" ht="36" x14ac:dyDescent="0.25">
      <c r="A202" s="7" t="s">
        <v>478</v>
      </c>
      <c r="B202" s="4" t="s">
        <v>19</v>
      </c>
      <c r="C202" s="4" t="s">
        <v>394</v>
      </c>
      <c r="D202" s="18">
        <f>D201/D65</f>
        <v>21.771425691565298</v>
      </c>
      <c r="E202" s="163"/>
      <c r="F202" s="163"/>
      <c r="G202" s="163"/>
      <c r="H202" s="163"/>
      <c r="I202" s="163"/>
      <c r="J202" s="163"/>
      <c r="K202" s="163"/>
      <c r="L202" s="163"/>
      <c r="M202" s="163"/>
      <c r="N202" s="163"/>
    </row>
    <row r="203" spans="1:14" ht="36" x14ac:dyDescent="0.25">
      <c r="A203" s="7" t="s">
        <v>479</v>
      </c>
      <c r="B203" s="4" t="s">
        <v>19</v>
      </c>
      <c r="C203" s="4" t="s">
        <v>24</v>
      </c>
      <c r="D203" s="164">
        <f>D202/D95</f>
        <v>0.31416198689127417</v>
      </c>
      <c r="E203" s="163"/>
      <c r="F203" s="163"/>
      <c r="G203" s="163"/>
      <c r="H203" s="163"/>
      <c r="I203" s="163"/>
      <c r="J203" s="163"/>
      <c r="K203" s="163"/>
      <c r="L203" s="163"/>
      <c r="M203" s="163"/>
      <c r="N203" s="163"/>
    </row>
    <row r="204" spans="1:14" x14ac:dyDescent="0.25">
      <c r="A204" s="7" t="s">
        <v>392</v>
      </c>
      <c r="B204" s="4" t="s">
        <v>19</v>
      </c>
      <c r="C204" s="4" t="s">
        <v>393</v>
      </c>
      <c r="D204" s="18">
        <f>D97+D98</f>
        <v>87.346959874559985</v>
      </c>
      <c r="E204" s="163"/>
      <c r="F204" s="163"/>
      <c r="G204" s="163"/>
      <c r="H204" s="163"/>
      <c r="I204" s="163"/>
      <c r="J204" s="163"/>
      <c r="K204" s="163"/>
      <c r="L204" s="163"/>
      <c r="M204" s="163"/>
      <c r="N204" s="163"/>
    </row>
    <row r="205" spans="1:14" x14ac:dyDescent="0.25">
      <c r="A205" s="7" t="s">
        <v>389</v>
      </c>
      <c r="B205" s="4" t="s">
        <v>19</v>
      </c>
      <c r="C205" s="4" t="s">
        <v>394</v>
      </c>
      <c r="D205" s="18">
        <f>D204/D65</f>
        <v>21.771425691565298</v>
      </c>
      <c r="E205" s="163"/>
      <c r="F205" s="163"/>
      <c r="G205" s="163"/>
      <c r="H205" s="163"/>
      <c r="I205" s="163"/>
      <c r="J205" s="163"/>
      <c r="K205" s="163"/>
      <c r="L205" s="163"/>
      <c r="M205" s="163"/>
      <c r="N205" s="163"/>
    </row>
    <row r="206" spans="1:14" ht="36" x14ac:dyDescent="0.25">
      <c r="A206" s="7" t="s">
        <v>390</v>
      </c>
      <c r="B206" s="4" t="s">
        <v>19</v>
      </c>
      <c r="C206" s="4" t="s">
        <v>24</v>
      </c>
      <c r="D206" s="164">
        <f>D205/D95</f>
        <v>0.31416198689127417</v>
      </c>
      <c r="E206" s="163"/>
      <c r="F206" s="163"/>
      <c r="G206" s="163"/>
      <c r="H206" s="163"/>
      <c r="I206" s="163"/>
      <c r="J206" s="163"/>
      <c r="K206" s="163"/>
      <c r="L206" s="163"/>
      <c r="M206" s="163"/>
      <c r="N206" s="163"/>
    </row>
    <row r="207" spans="1:14" x14ac:dyDescent="0.25">
      <c r="A207" s="161"/>
      <c r="B207" s="162"/>
      <c r="C207" s="162"/>
      <c r="D207" s="156"/>
      <c r="E207" s="163"/>
      <c r="F207" s="163"/>
      <c r="G207" s="163"/>
      <c r="H207" s="163"/>
      <c r="I207" s="163"/>
      <c r="J207" s="163"/>
      <c r="K207" s="163"/>
      <c r="L207" s="163"/>
      <c r="M207" s="163"/>
      <c r="N207" s="163"/>
    </row>
    <row r="208" spans="1:14" x14ac:dyDescent="0.25">
      <c r="A208" s="161"/>
      <c r="B208" s="162"/>
      <c r="C208" s="162"/>
      <c r="D208" s="156"/>
      <c r="E208" s="163"/>
      <c r="F208" s="163"/>
      <c r="G208" s="163"/>
      <c r="H208" s="163"/>
      <c r="I208" s="163"/>
      <c r="J208" s="163"/>
      <c r="K208" s="163"/>
      <c r="L208" s="163"/>
      <c r="M208" s="163"/>
      <c r="N208" s="163"/>
    </row>
    <row r="216" spans="1:1" x14ac:dyDescent="0.25">
      <c r="A216"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C000"/>
  </sheetPr>
  <dimension ref="A1:E67"/>
  <sheetViews>
    <sheetView topLeftCell="A26" zoomScale="70" zoomScaleNormal="70" workbookViewId="0">
      <selection activeCell="D41" sqref="A1:D41"/>
    </sheetView>
  </sheetViews>
  <sheetFormatPr defaultColWidth="7.5" defaultRowHeight="13.9" customHeight="1" x14ac:dyDescent="0.25"/>
  <cols>
    <col min="1" max="1" width="99" style="183" customWidth="1"/>
    <col min="2" max="2" width="49" style="183" customWidth="1"/>
    <col min="3" max="4" width="38.75" style="242" customWidth="1"/>
    <col min="6" max="16384" width="7.5" style="183"/>
  </cols>
  <sheetData>
    <row r="1" spans="1:5" ht="19.899999999999999" customHeight="1" x14ac:dyDescent="0.25">
      <c r="A1" s="434" t="s">
        <v>475</v>
      </c>
      <c r="B1" s="435"/>
      <c r="C1" s="435"/>
      <c r="D1" s="435"/>
    </row>
    <row r="2" spans="1:5" ht="37.9" customHeight="1" x14ac:dyDescent="0.25">
      <c r="A2" s="209" t="s">
        <v>469</v>
      </c>
      <c r="B2" s="210" t="s">
        <v>84</v>
      </c>
      <c r="C2" s="211" t="s">
        <v>440</v>
      </c>
      <c r="D2" s="211" t="s">
        <v>601</v>
      </c>
    </row>
    <row r="3" spans="1:5" s="197" customFormat="1" ht="19.149999999999999" customHeight="1" x14ac:dyDescent="0.25">
      <c r="A3" s="282" t="s">
        <v>441</v>
      </c>
      <c r="B3" s="215" t="str">
        <f>'Экономическая модель проекта'!C150</f>
        <v>млн руб.</v>
      </c>
      <c r="C3" s="238">
        <f>'Экономическая модель проекта'!D135</f>
        <v>8897.7934015397914</v>
      </c>
      <c r="D3" s="238">
        <f>'Вспомогательный лист (Э)'!D135</f>
        <v>6319.2641940538824</v>
      </c>
      <c r="E3" s="212"/>
    </row>
    <row r="4" spans="1:5" s="197" customFormat="1" ht="19.149999999999999" customHeight="1" x14ac:dyDescent="0.25">
      <c r="A4" s="213" t="s">
        <v>442</v>
      </c>
      <c r="B4" s="199" t="str">
        <f>'Экономическая модель проекта'!C151</f>
        <v>млн руб.</v>
      </c>
      <c r="C4" s="201">
        <f>'Экономическая модель проекта'!D130+'Экономическая модель проекта'!D133</f>
        <v>456.14589226338495</v>
      </c>
      <c r="D4" s="239">
        <f>'Вспомогательный лист (Э)'!D130+'Вспомогательный лист (Э)'!D133</f>
        <v>359.33412607507717</v>
      </c>
      <c r="E4" s="212"/>
    </row>
    <row r="5" spans="1:5" s="197" customFormat="1" ht="19.149999999999999" customHeight="1" x14ac:dyDescent="0.25">
      <c r="A5" s="213" t="s">
        <v>443</v>
      </c>
      <c r="B5" s="199" t="s">
        <v>20</v>
      </c>
      <c r="C5" s="239">
        <f>'Экономическая модель проекта'!D118</f>
        <v>0</v>
      </c>
      <c r="D5" s="239">
        <f>'Вспомогательный лист (Э)'!D118</f>
        <v>771.96033644441331</v>
      </c>
      <c r="E5" s="212"/>
    </row>
    <row r="6" spans="1:5" s="197" customFormat="1" ht="19.149999999999999" customHeight="1" x14ac:dyDescent="0.25">
      <c r="A6" s="213" t="s">
        <v>444</v>
      </c>
      <c r="B6" s="199" t="s">
        <v>20</v>
      </c>
      <c r="C6" s="239">
        <f>'Экономическая модель проекта'!D134</f>
        <v>72.91815987455999</v>
      </c>
      <c r="D6" s="239">
        <f>'Вспомогательный лист (Э)'!D134</f>
        <v>83.957214781440001</v>
      </c>
      <c r="E6" s="212"/>
    </row>
    <row r="7" spans="1:5" s="197" customFormat="1" ht="19.149999999999999" customHeight="1" x14ac:dyDescent="0.25">
      <c r="A7" s="213" t="s">
        <v>445</v>
      </c>
      <c r="B7" s="199" t="s">
        <v>20</v>
      </c>
      <c r="C7" s="239">
        <f>'Экономическая модель проекта'!D131+'Экономическая модель проекта'!D132</f>
        <v>8374.4043332764049</v>
      </c>
      <c r="D7" s="239">
        <f>'Вспомогательный лист (Э)'!D131+'Вспомогательный лист (Э)'!D132</f>
        <v>5931.1012679788055</v>
      </c>
      <c r="E7" s="212"/>
    </row>
    <row r="8" spans="1:5" ht="13.9" customHeight="1" x14ac:dyDescent="0.25">
      <c r="A8" s="266" t="str">
        <f>'Экономическая модель проекта'!A155</f>
        <v>Чистая приведенная стоимость проекта (NPV)</v>
      </c>
      <c r="B8" s="199" t="str">
        <f>'Экономическая модель проекта'!C155</f>
        <v>млн руб.</v>
      </c>
      <c r="C8" s="232">
        <f>'Экономическая модель проекта'!D155</f>
        <v>981.85649244950287</v>
      </c>
      <c r="D8" s="232">
        <f>'Вспомогательный лист (Э)'!D155</f>
        <v>983.79436182887127</v>
      </c>
    </row>
    <row r="9" spans="1:5" ht="13.9" customHeight="1" x14ac:dyDescent="0.25">
      <c r="A9" s="266" t="str">
        <f>'Экономическая модель проекта'!A144</f>
        <v xml:space="preserve">Дисконтированные инвестиционные и операционные затраты </v>
      </c>
      <c r="B9" s="199" t="s">
        <v>393</v>
      </c>
      <c r="C9" s="232">
        <f>'Экономическая модель проекта'!D144</f>
        <v>5938.8910797370954</v>
      </c>
      <c r="D9" s="232">
        <f>'Вспомогательный лист (Э)'!D144</f>
        <v>4233.0598963355196</v>
      </c>
    </row>
    <row r="10" spans="1:5" ht="13.9" customHeight="1" x14ac:dyDescent="0.25">
      <c r="A10" s="266" t="str">
        <f>'Экономическая модель проекта'!A153</f>
        <v>Внутренняя норма доходности (IRR)</v>
      </c>
      <c r="B10" s="199" t="str">
        <f>'Экономическая модель проекта'!C157</f>
        <v>%</v>
      </c>
      <c r="C10" s="233">
        <f>'Экономическая модель проекта'!D153</f>
        <v>0.20073708706123727</v>
      </c>
      <c r="D10" s="233">
        <f>'Вспомогательный лист (Э)'!D153</f>
        <v>0.22258793961400936</v>
      </c>
    </row>
    <row r="11" spans="1:5" ht="13.9" customHeight="1" x14ac:dyDescent="0.25">
      <c r="A11" s="266" t="str">
        <f>'Экономическая модель проекта'!A154</f>
        <v>Дисконтированный срок окупаемости инвестиций (DPB)</v>
      </c>
      <c r="B11" s="199" t="s">
        <v>21</v>
      </c>
      <c r="C11" s="234">
        <f>'Экономическая модель проекта'!D154</f>
        <v>7</v>
      </c>
      <c r="D11" s="234">
        <f>'Вспомогательный лист (Э)'!D154</f>
        <v>6</v>
      </c>
    </row>
    <row r="12" spans="1:5" ht="13.9" customHeight="1" x14ac:dyDescent="0.25">
      <c r="A12" s="266" t="str">
        <f>'Экономическая модель проекта'!A152</f>
        <v>Индекс прибыльности (PI) проекта без учета дисконтирования</v>
      </c>
      <c r="B12" s="199" t="s">
        <v>24</v>
      </c>
      <c r="C12" s="233">
        <f>'Экономическая модель проекта'!D152</f>
        <v>0.33103617845844169</v>
      </c>
      <c r="D12" s="233">
        <f>'Вспомогательный лист (Э)'!D152</f>
        <v>0.38100235965054008</v>
      </c>
    </row>
    <row r="13" spans="1:5" ht="13.9" customHeight="1" x14ac:dyDescent="0.25">
      <c r="A13" s="266" t="str">
        <f>'Экономическая модель проекта'!A156</f>
        <v>Индекс прибыльности (PI) проекта с учетом дисконтирования</v>
      </c>
      <c r="B13" s="199" t="s">
        <v>24</v>
      </c>
      <c r="C13" s="233">
        <f>'Экономическая модель проекта'!D156</f>
        <v>0.16532657010658092</v>
      </c>
      <c r="D13" s="233">
        <f>'Вспомогательный лист (Э)'!D156</f>
        <v>0.23240738045793388</v>
      </c>
    </row>
    <row r="14" spans="1:5" ht="25.15" customHeight="1" x14ac:dyDescent="0.25">
      <c r="A14" s="204" t="s">
        <v>451</v>
      </c>
      <c r="B14" s="201" t="s">
        <v>24</v>
      </c>
      <c r="C14" s="233">
        <f>'Экономическая модель проекта'!D158</f>
        <v>6.457345279912559</v>
      </c>
      <c r="D14" s="233">
        <f>'Вспомогательный лист (Э)'!D158</f>
        <v>7.5188329826684788</v>
      </c>
    </row>
    <row r="15" spans="1:5" ht="24" customHeight="1" x14ac:dyDescent="0.25">
      <c r="A15" s="204" t="s">
        <v>73</v>
      </c>
      <c r="B15" s="199" t="s">
        <v>24</v>
      </c>
      <c r="C15" s="233">
        <f>'Экономическая модель проекта'!D157</f>
        <v>2.3141135132646715</v>
      </c>
      <c r="D15" s="233">
        <f>'Вспомогательный лист (Э)'!D157</f>
        <v>2.9405816134897118</v>
      </c>
    </row>
    <row r="16" spans="1:5" ht="13.9" customHeight="1" x14ac:dyDescent="0.25">
      <c r="A16" s="198" t="str">
        <f>'Экономическая модель проекта'!A183</f>
        <v>Показатели бюджетной эффективности</v>
      </c>
      <c r="B16" s="202"/>
      <c r="C16" s="236"/>
      <c r="D16" s="237"/>
    </row>
    <row r="17" spans="1:4" ht="13.9" customHeight="1" x14ac:dyDescent="0.25">
      <c r="A17" s="203" t="str">
        <f>'Экономическая модель проекта'!A184</f>
        <v xml:space="preserve">Налоговые доходы муниципального образования и региона после реализации проекта </v>
      </c>
      <c r="B17" s="204" t="s">
        <v>424</v>
      </c>
      <c r="C17" s="232">
        <f>'Экономическая модель проекта'!N184</f>
        <v>91.096021428971127</v>
      </c>
      <c r="D17" s="232">
        <f>'Вспомогательный лист (Э)'!N184</f>
        <v>76.58100649405597</v>
      </c>
    </row>
    <row r="18" spans="1:4" ht="13.9" customHeight="1" x14ac:dyDescent="0.25">
      <c r="A18" s="204" t="str">
        <f>'Экономическая модель проекта'!A185</f>
        <v>Налог на имущество организаций (нежилые помещения и нежилые здания)</v>
      </c>
      <c r="B18" s="204" t="s">
        <v>424</v>
      </c>
      <c r="C18" s="232">
        <f>'Экономическая модель проекта'!N185</f>
        <v>58.511096094252331</v>
      </c>
      <c r="D18" s="232">
        <f>'Вспомогательный лист (Э)'!N185</f>
        <v>50.837509721235627</v>
      </c>
    </row>
    <row r="19" spans="1:4" ht="13.9" customHeight="1" x14ac:dyDescent="0.25">
      <c r="A19" s="204" t="str">
        <f>'Экономическая модель проекта'!A186</f>
        <v>Налог на доходы малого бизнеса на территории (упрощенная система)</v>
      </c>
      <c r="B19" s="204" t="s">
        <v>424</v>
      </c>
      <c r="C19" s="232">
        <f>'Экономическая модель проекта'!N186</f>
        <v>20.872154934605426</v>
      </c>
      <c r="D19" s="232">
        <f>'Вспомогательный лист (Э)'!N186</f>
        <v>16.233898282470886</v>
      </c>
    </row>
    <row r="20" spans="1:4" ht="13.9" customHeight="1" x14ac:dyDescent="0.25">
      <c r="A20" s="204" t="str">
        <f>'Экономическая модель проекта'!A187</f>
        <v xml:space="preserve">Доходы бюджета города от налога на имущество физических лиц </v>
      </c>
      <c r="B20" s="204" t="s">
        <v>424</v>
      </c>
      <c r="C20" s="232">
        <f>'Экономическая модель проекта'!N187</f>
        <v>9.9142735939375743</v>
      </c>
      <c r="D20" s="232">
        <f>'Вспомогательный лист (Э)'!N187</f>
        <v>7.7111016841736664</v>
      </c>
    </row>
    <row r="21" spans="1:4" ht="13.9" customHeight="1" x14ac:dyDescent="0.25">
      <c r="A21" s="204" t="str">
        <f>'Экономическая модель проекта'!A188</f>
        <v>Доходы бюджета города от земельного налога</v>
      </c>
      <c r="B21" s="204" t="s">
        <v>424</v>
      </c>
      <c r="C21" s="232">
        <f>'Экономическая модель проекта'!N188</f>
        <v>1.7984968061757889</v>
      </c>
      <c r="D21" s="232">
        <f>'Вспомогательный лист (Э)'!N188</f>
        <v>1.7984968061757889</v>
      </c>
    </row>
    <row r="22" spans="1:4" ht="13.9" customHeight="1" x14ac:dyDescent="0.25">
      <c r="A22" s="203" t="s">
        <v>599</v>
      </c>
      <c r="B22" s="204" t="s">
        <v>424</v>
      </c>
      <c r="C22" s="274">
        <f>'Экономическая модель проекта'!N192</f>
        <v>-11.93675952431494</v>
      </c>
      <c r="D22" s="274">
        <f>'Вспомогательный лист (Э)'!N192</f>
        <v>-8.8844803397614474</v>
      </c>
    </row>
    <row r="23" spans="1:4" ht="13.9" customHeight="1" x14ac:dyDescent="0.25">
      <c r="A23" s="203" t="s">
        <v>600</v>
      </c>
      <c r="B23" s="204"/>
      <c r="C23" s="232">
        <f>'Экономическая модель проекта'!N193</f>
        <v>79.383251028857757</v>
      </c>
      <c r="D23" s="232">
        <f>'Вспомогательный лист (Э)'!N193</f>
        <v>67.071408003706509</v>
      </c>
    </row>
    <row r="24" spans="1:4" ht="13.9" customHeight="1" x14ac:dyDescent="0.25">
      <c r="A24" s="198" t="str">
        <f>'Экономическая модель проекта'!A194</f>
        <v>Показатели эффективности проекта для экономики города</v>
      </c>
      <c r="B24" s="202"/>
      <c r="C24" s="236"/>
      <c r="D24" s="237"/>
    </row>
    <row r="25" spans="1:4" ht="34.15" customHeight="1" x14ac:dyDescent="0.25">
      <c r="A25" s="281" t="str">
        <f>'Экономическая модель проекта'!A199</f>
        <v>Совокупный спрос населения - резидентов территории на товары и услуги в районе проживания</v>
      </c>
      <c r="B25" s="204" t="s">
        <v>425</v>
      </c>
      <c r="C25" s="232">
        <f>'Экономическая модель проекта'!N199</f>
        <v>347.86924891009045</v>
      </c>
      <c r="D25" s="232">
        <f>'Вспомогательный лист (Э)'!N199</f>
        <v>270.56497137451476</v>
      </c>
    </row>
    <row r="26" spans="1:4" ht="13.9" customHeight="1" x14ac:dyDescent="0.25">
      <c r="A26" s="198" t="s">
        <v>388</v>
      </c>
      <c r="B26" s="205"/>
      <c r="C26" s="236"/>
      <c r="D26" s="237"/>
    </row>
    <row r="27" spans="1:4" ht="13.9" customHeight="1" x14ac:dyDescent="0.25">
      <c r="A27" s="206" t="str">
        <f>'Экономическая модель проекта'!A204</f>
        <v xml:space="preserve">Расходы Фонда ЖКХ </v>
      </c>
      <c r="B27" s="207" t="str">
        <f>'Экономическая модель проекта'!C204</f>
        <v xml:space="preserve">млн руб. </v>
      </c>
      <c r="C27" s="232">
        <f>'Экономическая модель проекта'!D204</f>
        <v>87.346959874559985</v>
      </c>
      <c r="D27" s="232">
        <f>'Вспомогательный лист (Э)'!D204</f>
        <v>148.87177334784002</v>
      </c>
    </row>
    <row r="28" spans="1:4" ht="13.9" customHeight="1" x14ac:dyDescent="0.25">
      <c r="A28" s="206" t="str">
        <f>'Экономическая модель проекта'!A205</f>
        <v>Расходы Фонда ЖКХ в расчете на 1 кв. м расселяемого аварийного жилья</v>
      </c>
      <c r="B28" s="207" t="str">
        <f>'Экономическая модель проекта'!C205</f>
        <v xml:space="preserve">тыс. руб. </v>
      </c>
      <c r="C28" s="232">
        <f>'Экономическая модель проекта'!D205</f>
        <v>21.771425691565298</v>
      </c>
      <c r="D28" s="232">
        <f>'Вспомогательный лист (Э)'!D205</f>
        <v>68.922117290666677</v>
      </c>
    </row>
    <row r="29" spans="1:4" ht="30" x14ac:dyDescent="0.25">
      <c r="A29" s="206" t="str">
        <f>'Экономическая модель проекта'!A206</f>
        <v xml:space="preserve">Отношение расходов Фонда ЖКХ в расчете на 1 кв. м расселяемого аварийного жилья к нормативной стоимости 1 кв. м жилья </v>
      </c>
      <c r="B29" s="207" t="str">
        <f>'Экономическая модель проекта'!C206</f>
        <v>%</v>
      </c>
      <c r="C29" s="235">
        <f>'Экономическая модель проекта'!D206</f>
        <v>0.31416198689127417</v>
      </c>
      <c r="D29" s="235">
        <f>'Вспомогательный лист (Э)'!D206</f>
        <v>0.99454714705146718</v>
      </c>
    </row>
    <row r="30" spans="1:4" ht="13.9" customHeight="1" x14ac:dyDescent="0.25">
      <c r="A30" s="198" t="s">
        <v>602</v>
      </c>
      <c r="B30" s="208"/>
      <c r="C30" s="240"/>
      <c r="D30" s="240"/>
    </row>
    <row r="31" spans="1:4" ht="13.9" customHeight="1" x14ac:dyDescent="0.25">
      <c r="A31" s="203" t="s">
        <v>439</v>
      </c>
      <c r="B31" s="206" t="s">
        <v>20</v>
      </c>
      <c r="C31" s="241">
        <f>'Экономическая модель проекта'!B172</f>
        <v>9969.0479999999989</v>
      </c>
      <c r="D31" s="241">
        <f>'Вспомогательный лист (Э)'!B172</f>
        <v>7933.7039999999988</v>
      </c>
    </row>
    <row r="32" spans="1:4" ht="13.9" customHeight="1" x14ac:dyDescent="0.25">
      <c r="A32" s="206" t="str">
        <f>'Экономическая модель проекта'!A173</f>
        <v>Стоимость зданий, инфраструктуры, благоустройства</v>
      </c>
      <c r="B32" s="206" t="s">
        <v>20</v>
      </c>
      <c r="C32" s="241">
        <f>'Экономическая модель проекта'!B173</f>
        <v>5627.6279999999997</v>
      </c>
      <c r="D32" s="241">
        <f>'Вспомогательный лист (Э)'!B173</f>
        <v>4504.6439999999993</v>
      </c>
    </row>
    <row r="33" spans="1:4" ht="13.9" customHeight="1" x14ac:dyDescent="0.25">
      <c r="A33" s="206" t="str">
        <f>'Экономическая модель проекта'!A174</f>
        <v>Жители территории, переселяемые из сносимых домов, и собственники нежилых помещений (новое жилье+компенсации)</v>
      </c>
      <c r="B33" s="206" t="s">
        <v>20</v>
      </c>
      <c r="C33" s="241">
        <f>'Экономическая модель проекта'!B174</f>
        <v>1065.2275692307694</v>
      </c>
      <c r="D33" s="241">
        <f>'Вспомогательный лист (Э)'!B174</f>
        <v>965.46225468295916</v>
      </c>
    </row>
    <row r="34" spans="1:4" ht="13.9" customHeight="1" x14ac:dyDescent="0.25">
      <c r="A34" s="206" t="str">
        <f>'Экономическая модель проекта'!A175</f>
        <v>Застройщик (максимальная чистая прибыль от реализации проекта с учетом упущенной выгоды)</v>
      </c>
      <c r="B34" s="206" t="s">
        <v>20</v>
      </c>
      <c r="C34" s="241">
        <f>'Экономическая модель проекта'!B175</f>
        <v>2362.9499624591203</v>
      </c>
      <c r="D34" s="241">
        <f>'Вспомогательный лист (Э)'!B175</f>
        <v>1525.6545935228805</v>
      </c>
    </row>
    <row r="35" spans="1:4" ht="13.9" customHeight="1" x14ac:dyDescent="0.25">
      <c r="A35" s="206" t="str">
        <f>'Экономическая модель проекта'!A176</f>
        <v>Бюджетные доходы по налогу на прибыль и НДС</v>
      </c>
      <c r="B35" s="206" t="s">
        <v>20</v>
      </c>
      <c r="C35" s="241">
        <f>'Экономическая модель проекта'!B176</f>
        <v>913.24246831010976</v>
      </c>
      <c r="D35" s="241">
        <f>'Вспомогательный лист (Э)'!B176</f>
        <v>937.94315179415969</v>
      </c>
    </row>
    <row r="36" spans="1:4" ht="13.9" customHeight="1" x14ac:dyDescent="0.25">
      <c r="A36" s="198" t="s">
        <v>426</v>
      </c>
      <c r="B36" s="208"/>
      <c r="C36" s="236"/>
      <c r="D36" s="240"/>
    </row>
    <row r="37" spans="1:4" ht="13.9" customHeight="1" x14ac:dyDescent="0.25">
      <c r="A37" s="203" t="s">
        <v>439</v>
      </c>
      <c r="B37" s="206" t="s">
        <v>24</v>
      </c>
      <c r="C37" s="233">
        <f>'Экономическая модель проекта'!C172</f>
        <v>1</v>
      </c>
      <c r="D37" s="233">
        <f>'Вспомогательный лист (Э)'!C172</f>
        <v>1</v>
      </c>
    </row>
    <row r="38" spans="1:4" ht="13.9" customHeight="1" x14ac:dyDescent="0.25">
      <c r="A38" s="206" t="str">
        <f>'Экономическая модель проекта'!A178</f>
        <v>Стоимость зданий, инфраструктуры, благоустройства</v>
      </c>
      <c r="B38" s="206" t="s">
        <v>24</v>
      </c>
      <c r="C38" s="233">
        <f>'Экономическая модель проекта'!C173</f>
        <v>0.56451007157353439</v>
      </c>
      <c r="D38" s="233">
        <f>'Вспомогательный лист (Э)'!C173</f>
        <v>0.56778574043095131</v>
      </c>
    </row>
    <row r="39" spans="1:4" ht="13.9" customHeight="1" x14ac:dyDescent="0.25">
      <c r="A39" s="206" t="str">
        <f>'Экономическая модель проекта'!A179</f>
        <v>Жители территории, переселяемые из сносимых домов, и собственники нежилых помещений (новое жилье+компенсации)</v>
      </c>
      <c r="B39" s="206" t="s">
        <v>24</v>
      </c>
      <c r="C39" s="233">
        <f>'Экономическая модель проекта'!C174</f>
        <v>0.10685348984484472</v>
      </c>
      <c r="D39" s="233">
        <f>'Вспомогательный лист (Э)'!C174</f>
        <v>0.12169123711736149</v>
      </c>
    </row>
    <row r="40" spans="1:4" ht="13.9" customHeight="1" x14ac:dyDescent="0.25">
      <c r="A40" s="206" t="str">
        <f>'Экономическая модель проекта'!A180</f>
        <v>Застройщик (максимальная чистая прибыль от реализации проекта с учетом упущенной выгоды)</v>
      </c>
      <c r="B40" s="206" t="s">
        <v>24</v>
      </c>
      <c r="C40" s="233">
        <f>'Экономическая модель проекта'!C175</f>
        <v>0.23702864731508169</v>
      </c>
      <c r="D40" s="233">
        <f>'Вспомогательный лист (Э)'!C175</f>
        <v>0.19230041775227319</v>
      </c>
    </row>
    <row r="41" spans="1:4" ht="13.9" customHeight="1" x14ac:dyDescent="0.25">
      <c r="A41" s="206" t="str">
        <f>'Экономическая модель проекта'!A181</f>
        <v>Бюджетные доходы по налогу на прибыль и НДС</v>
      </c>
      <c r="B41" s="206" t="s">
        <v>24</v>
      </c>
      <c r="C41" s="233">
        <f>'Экономическая модель проекта'!C176</f>
        <v>9.1607791266539174E-2</v>
      </c>
      <c r="D41" s="233">
        <f>'Вспомогательный лист (Э)'!C176</f>
        <v>0.11822260469941402</v>
      </c>
    </row>
    <row r="42" spans="1:4" ht="13.9" customHeight="1" x14ac:dyDescent="0.25">
      <c r="A42" s="182"/>
      <c r="B42" s="182"/>
      <c r="D42" s="243"/>
    </row>
    <row r="43" spans="1:4" ht="13.9" customHeight="1" x14ac:dyDescent="0.25">
      <c r="A43" s="182"/>
      <c r="B43" s="182"/>
      <c r="D43" s="243"/>
    </row>
    <row r="44" spans="1:4" ht="13.9" customHeight="1" x14ac:dyDescent="0.25">
      <c r="A44" s="182"/>
      <c r="B44" s="182"/>
      <c r="D44" s="243"/>
    </row>
    <row r="45" spans="1:4" ht="13.9" customHeight="1" x14ac:dyDescent="0.25">
      <c r="A45" s="224" t="s">
        <v>474</v>
      </c>
      <c r="B45" s="225"/>
      <c r="C45" s="244"/>
      <c r="D45" s="245"/>
    </row>
    <row r="46" spans="1:4" ht="37.15" customHeight="1" thickBot="1" x14ac:dyDescent="0.3">
      <c r="A46" s="259" t="s">
        <v>427</v>
      </c>
      <c r="B46" s="260" t="s">
        <v>181</v>
      </c>
      <c r="C46" s="221" t="s">
        <v>611</v>
      </c>
      <c r="D46" s="221" t="s">
        <v>446</v>
      </c>
    </row>
    <row r="47" spans="1:4" ht="13.9" customHeight="1" x14ac:dyDescent="0.25">
      <c r="A47" s="218" t="s">
        <v>382</v>
      </c>
      <c r="B47" s="219" t="s">
        <v>24</v>
      </c>
      <c r="C47" s="275">
        <f>'Исходные данные'!D93</f>
        <v>0.1</v>
      </c>
      <c r="D47" s="247">
        <v>0.1</v>
      </c>
    </row>
    <row r="48" spans="1:4" ht="13.9" customHeight="1" x14ac:dyDescent="0.25">
      <c r="A48" s="216" t="s">
        <v>428</v>
      </c>
      <c r="B48" s="219" t="s">
        <v>24</v>
      </c>
      <c r="C48" s="276">
        <f>'Исходные данные'!D91</f>
        <v>0.04</v>
      </c>
      <c r="D48" s="249">
        <v>0.04</v>
      </c>
    </row>
    <row r="49" spans="1:5" ht="13.9" customHeight="1" x14ac:dyDescent="0.25">
      <c r="A49" s="216" t="s">
        <v>437</v>
      </c>
      <c r="B49" s="219" t="s">
        <v>24</v>
      </c>
      <c r="C49" s="276">
        <f>'Исходные данные'!D92</f>
        <v>0</v>
      </c>
      <c r="D49" s="249">
        <v>0</v>
      </c>
    </row>
    <row r="50" spans="1:5" ht="25.15" customHeight="1" thickBot="1" x14ac:dyDescent="0.3">
      <c r="A50" s="227" t="s">
        <v>432</v>
      </c>
      <c r="B50" s="219" t="s">
        <v>24</v>
      </c>
      <c r="C50" s="250">
        <f>'Базовые параметры'!D6</f>
        <v>1.3</v>
      </c>
      <c r="D50" s="228">
        <v>1.4</v>
      </c>
    </row>
    <row r="51" spans="1:5" s="184" customFormat="1" ht="13.9" customHeight="1" thickBot="1" x14ac:dyDescent="0.3">
      <c r="A51" s="226" t="s">
        <v>429</v>
      </c>
      <c r="B51" s="223"/>
      <c r="C51" s="251"/>
      <c r="D51" s="252"/>
      <c r="E51" s="222"/>
    </row>
    <row r="52" spans="1:5" ht="13.9" customHeight="1" x14ac:dyDescent="0.25">
      <c r="A52" s="218" t="s">
        <v>434</v>
      </c>
      <c r="B52" s="219" t="s">
        <v>24</v>
      </c>
      <c r="C52" s="246">
        <f>'Экономическая модель проекта'!D102</f>
        <v>0</v>
      </c>
      <c r="D52" s="247">
        <v>1</v>
      </c>
    </row>
    <row r="53" spans="1:5" ht="13.9" customHeight="1" x14ac:dyDescent="0.25">
      <c r="A53" s="216" t="s">
        <v>435</v>
      </c>
      <c r="B53" s="219" t="s">
        <v>24</v>
      </c>
      <c r="C53" s="248">
        <f>'Экономическая модель проекта'!D103</f>
        <v>0</v>
      </c>
      <c r="D53" s="249">
        <v>1</v>
      </c>
    </row>
    <row r="54" spans="1:5" ht="13.9" customHeight="1" x14ac:dyDescent="0.25">
      <c r="A54" s="216" t="s">
        <v>436</v>
      </c>
      <c r="B54" s="219" t="s">
        <v>24</v>
      </c>
      <c r="C54" s="248">
        <f>'Экономическая модель проекта'!D104</f>
        <v>0</v>
      </c>
      <c r="D54" s="249">
        <v>1</v>
      </c>
    </row>
    <row r="55" spans="1:5" ht="13.9" customHeight="1" x14ac:dyDescent="0.25">
      <c r="A55" s="316" t="s">
        <v>603</v>
      </c>
      <c r="B55" s="317" t="s">
        <v>393</v>
      </c>
      <c r="C55" s="318">
        <f>'Экономическая модель проекта'!E119</f>
        <v>100</v>
      </c>
      <c r="D55" s="318">
        <v>100</v>
      </c>
    </row>
    <row r="56" spans="1:5" ht="18" customHeight="1" thickBot="1" x14ac:dyDescent="0.3">
      <c r="A56" s="227" t="s">
        <v>430</v>
      </c>
      <c r="B56" s="220" t="s">
        <v>24</v>
      </c>
      <c r="C56" s="253">
        <f>'Экономическая модель проекта'!D94</f>
        <v>0.25</v>
      </c>
      <c r="D56" s="231">
        <v>0.5</v>
      </c>
    </row>
    <row r="57" spans="1:5" ht="13.9" customHeight="1" thickBot="1" x14ac:dyDescent="0.3">
      <c r="A57" s="229" t="s">
        <v>431</v>
      </c>
      <c r="B57" s="230"/>
      <c r="C57" s="254"/>
      <c r="D57" s="255"/>
    </row>
    <row r="58" spans="1:5" ht="13.9" customHeight="1" x14ac:dyDescent="0.25">
      <c r="A58" s="218" t="s">
        <v>433</v>
      </c>
      <c r="B58" s="219" t="s">
        <v>24</v>
      </c>
      <c r="C58" s="246">
        <f>'Базовые параметры'!D8</f>
        <v>1</v>
      </c>
      <c r="D58" s="256">
        <f>SUM(D59,D63:D65)</f>
        <v>1</v>
      </c>
    </row>
    <row r="59" spans="1:5" ht="34.15" customHeight="1" x14ac:dyDescent="0.25">
      <c r="A59" s="217" t="str">
        <f>'Экономическая модель проекта'!A66</f>
        <v>Предоставление собственнику жилого помещения другого жилого помещения (в собственность переселяемого гражданина)</v>
      </c>
      <c r="B59" s="200" t="s">
        <v>24</v>
      </c>
      <c r="C59" s="248">
        <f>'Базовые параметры'!D9</f>
        <v>0.7</v>
      </c>
      <c r="D59" s="257">
        <v>0.6</v>
      </c>
    </row>
    <row r="60" spans="1:5" ht="16.149999999999999" customHeight="1" x14ac:dyDescent="0.25">
      <c r="A60" s="217" t="str">
        <f>'Экономическая модель проекта'!A67</f>
        <v xml:space="preserve">              в построенных в границах КРТ МКД</v>
      </c>
      <c r="B60" s="200" t="s">
        <v>24</v>
      </c>
      <c r="C60" s="248">
        <f>'Экономическая модель проекта'!D62</f>
        <v>0.1</v>
      </c>
      <c r="D60" s="257">
        <v>0</v>
      </c>
    </row>
    <row r="61" spans="1:5" ht="16.899999999999999" customHeight="1" x14ac:dyDescent="0.25">
      <c r="A61" s="217" t="str">
        <f>'Экономическая модель проекта'!A68</f>
        <v xml:space="preserve">              в построенных за границами КРТ МКД</v>
      </c>
      <c r="B61" s="200" t="s">
        <v>24</v>
      </c>
      <c r="C61" s="248">
        <f>'Экономическая модель проекта'!D63</f>
        <v>0.7</v>
      </c>
      <c r="D61" s="257">
        <v>0</v>
      </c>
    </row>
    <row r="62" spans="1:5" ht="19.149999999999999" customHeight="1" x14ac:dyDescent="0.25">
      <c r="A62" s="217" t="str">
        <f>'Экономическая модель проекта'!A69</f>
        <v xml:space="preserve">              приобретенных на рынке </v>
      </c>
      <c r="B62" s="200" t="s">
        <v>24</v>
      </c>
      <c r="C62" s="248">
        <f>'Экономическая модель проекта'!D64</f>
        <v>0.20000000000000007</v>
      </c>
      <c r="D62" s="257">
        <v>1</v>
      </c>
    </row>
    <row r="63" spans="1:5" ht="48" customHeight="1" x14ac:dyDescent="0.25">
      <c r="A63" s="217" t="str">
        <f>'Экономическая модель проекта'!A70</f>
        <v>Предоставление нанимателям жилых помещений другого жилого помещения по договору найма жилого помещения в жилищном фонде социального использования (договор некоммерческого найма)</v>
      </c>
      <c r="B63" s="200" t="s">
        <v>24</v>
      </c>
      <c r="C63" s="248">
        <f>'Базовые параметры'!D10</f>
        <v>0.01</v>
      </c>
      <c r="D63" s="257">
        <v>0.2</v>
      </c>
    </row>
    <row r="64" spans="1:5" ht="28.9" customHeight="1" x14ac:dyDescent="0.25">
      <c r="A64" s="217" t="str">
        <f>'Экономическая модель проекта'!A71</f>
        <v xml:space="preserve">Предоставление нанимателям жилых помещений другого жилого помещения по договору социального найма </v>
      </c>
      <c r="B64" s="200" t="s">
        <v>24</v>
      </c>
      <c r="C64" s="248">
        <f>'Базовые параметры'!D11</f>
        <v>0.09</v>
      </c>
      <c r="D64" s="257">
        <v>0</v>
      </c>
    </row>
    <row r="65" spans="1:4" ht="34.15" customHeight="1" x14ac:dyDescent="0.25">
      <c r="A65" s="217" t="str">
        <f>'Экономическая модель проекта'!A72</f>
        <v>Выплата собственникам жилых помещений возмещения за изымаемое жилое помещение в размере рыночной стоимости жилого помещения (ч. 7 ст. 32 ЖК РФ)</v>
      </c>
      <c r="B65" s="200" t="s">
        <v>24</v>
      </c>
      <c r="C65" s="248">
        <f>'Базовые параметры'!D12</f>
        <v>0.2</v>
      </c>
      <c r="D65" s="257">
        <v>0.2</v>
      </c>
    </row>
    <row r="66" spans="1:4" ht="40.9" customHeight="1" x14ac:dyDescent="0.25">
      <c r="A66" s="217" t="str">
        <f>'Экономическая модель проекта'!A73</f>
        <v>Предоставление субсидии на приобретение, строительство жилого помещения, оплату процентов по ипотеке (если у гражданина отсутствует иное пригодное для проживания жилое помещение)</v>
      </c>
      <c r="B66" s="200" t="s">
        <v>24</v>
      </c>
      <c r="C66" s="261">
        <f>'Базовые параметры'!D13</f>
        <v>0.1</v>
      </c>
      <c r="D66" s="262">
        <v>0.2</v>
      </c>
    </row>
    <row r="67" spans="1:4" ht="57" customHeight="1" thickBot="1" x14ac:dyDescent="0.3">
      <c r="A67" s="263" t="s">
        <v>449</v>
      </c>
      <c r="B67" s="264" t="s">
        <v>450</v>
      </c>
      <c r="C67" s="265">
        <f>'Градостроительная модель'!D71</f>
        <v>9</v>
      </c>
      <c r="D67" s="265">
        <v>7</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2:L185"/>
  <sheetViews>
    <sheetView topLeftCell="A104" zoomScale="55" zoomScaleNormal="55" workbookViewId="0">
      <selection activeCell="A125" sqref="A125"/>
    </sheetView>
  </sheetViews>
  <sheetFormatPr defaultColWidth="9" defaultRowHeight="15" x14ac:dyDescent="0.2"/>
  <cols>
    <col min="1" max="1" width="46.75" style="284" customWidth="1"/>
    <col min="2" max="2" width="13.75" style="300" bestFit="1" customWidth="1"/>
    <col min="3" max="3" width="14.5" style="300" customWidth="1"/>
    <col min="4" max="4" width="13.75" style="300" customWidth="1"/>
    <col min="5" max="6" width="14.25" style="300" customWidth="1"/>
    <col min="7" max="7" width="17.5" style="284" customWidth="1"/>
    <col min="8" max="8" width="11.25" style="284" bestFit="1" customWidth="1"/>
    <col min="9" max="11" width="11.25" style="284" customWidth="1"/>
    <col min="12" max="16384" width="9" style="284"/>
  </cols>
  <sheetData>
    <row r="2" spans="1:12" x14ac:dyDescent="0.2">
      <c r="A2" s="287"/>
      <c r="B2" s="288"/>
      <c r="C2" s="288"/>
      <c r="D2" s="288"/>
      <c r="E2" s="288"/>
      <c r="F2" s="288"/>
      <c r="G2" s="289"/>
      <c r="H2" s="289"/>
      <c r="I2" s="289"/>
      <c r="J2" s="289"/>
      <c r="K2" s="289"/>
    </row>
    <row r="3" spans="1:12" x14ac:dyDescent="0.2">
      <c r="A3" s="287"/>
      <c r="B3" s="288"/>
      <c r="C3" s="288"/>
      <c r="D3" s="288"/>
      <c r="E3" s="288"/>
      <c r="F3" s="288"/>
      <c r="G3" s="289"/>
      <c r="H3" s="289"/>
      <c r="I3" s="289"/>
      <c r="J3" s="289"/>
      <c r="K3" s="289"/>
    </row>
    <row r="4" spans="1:12" x14ac:dyDescent="0.2">
      <c r="A4" s="287"/>
      <c r="B4" s="288"/>
      <c r="C4" s="288"/>
      <c r="D4" s="288"/>
      <c r="E4" s="288"/>
      <c r="F4" s="288"/>
      <c r="G4" s="289"/>
      <c r="H4" s="289"/>
      <c r="I4" s="289"/>
      <c r="J4" s="289"/>
      <c r="K4" s="289"/>
    </row>
    <row r="5" spans="1:12" x14ac:dyDescent="0.2">
      <c r="A5" s="287"/>
      <c r="B5" s="288"/>
      <c r="C5" s="288"/>
      <c r="D5" s="288"/>
      <c r="E5" s="288"/>
      <c r="F5" s="288"/>
      <c r="G5" s="289"/>
      <c r="H5" s="289"/>
      <c r="I5" s="289"/>
      <c r="J5" s="289"/>
      <c r="K5" s="289"/>
    </row>
    <row r="6" spans="1:12" x14ac:dyDescent="0.2">
      <c r="A6" s="287"/>
      <c r="B6" s="288"/>
      <c r="C6" s="288"/>
      <c r="D6" s="288"/>
      <c r="E6" s="288"/>
      <c r="F6" s="288"/>
      <c r="G6" s="289"/>
      <c r="H6" s="289"/>
      <c r="I6" s="289"/>
      <c r="J6" s="289"/>
      <c r="K6" s="289"/>
    </row>
    <row r="7" spans="1:12" x14ac:dyDescent="0.2">
      <c r="A7" s="287"/>
      <c r="B7" s="288"/>
      <c r="C7" s="288"/>
      <c r="D7" s="288"/>
      <c r="E7" s="288"/>
      <c r="F7" s="288"/>
      <c r="G7" s="289"/>
      <c r="H7" s="289"/>
      <c r="I7" s="289"/>
      <c r="J7" s="289"/>
      <c r="K7" s="289"/>
    </row>
    <row r="8" spans="1:12" x14ac:dyDescent="0.2">
      <c r="A8" s="287"/>
      <c r="B8" s="288"/>
      <c r="C8" s="288"/>
      <c r="D8" s="288"/>
      <c r="E8" s="288"/>
      <c r="F8" s="288"/>
      <c r="G8" s="289"/>
      <c r="H8" s="289"/>
      <c r="I8" s="289"/>
      <c r="J8" s="289"/>
      <c r="K8" s="289"/>
    </row>
    <row r="9" spans="1:12" x14ac:dyDescent="0.2">
      <c r="A9" s="287"/>
      <c r="B9" s="288"/>
      <c r="C9" s="288"/>
      <c r="D9" s="288"/>
      <c r="E9" s="288"/>
      <c r="F9" s="288"/>
      <c r="G9" s="289"/>
      <c r="H9" s="289"/>
      <c r="I9" s="289"/>
      <c r="J9" s="289"/>
      <c r="K9" s="289"/>
    </row>
    <row r="10" spans="1:12" x14ac:dyDescent="0.2">
      <c r="A10" s="287"/>
      <c r="B10" s="288"/>
      <c r="C10" s="288"/>
      <c r="D10" s="288"/>
      <c r="E10" s="288"/>
      <c r="F10" s="288"/>
      <c r="G10" s="289"/>
      <c r="H10" s="289"/>
      <c r="I10" s="289"/>
      <c r="J10" s="289"/>
      <c r="K10" s="289"/>
    </row>
    <row r="11" spans="1:12" x14ac:dyDescent="0.2">
      <c r="A11" s="287"/>
      <c r="B11" s="288"/>
      <c r="C11" s="288"/>
      <c r="D11" s="288"/>
      <c r="E11" s="288"/>
      <c r="F11" s="288"/>
      <c r="G11" s="289"/>
      <c r="H11" s="289"/>
      <c r="I11" s="289"/>
      <c r="J11" s="289"/>
      <c r="K11" s="289"/>
    </row>
    <row r="12" spans="1:12" x14ac:dyDescent="0.2">
      <c r="B12" s="288"/>
      <c r="C12" s="288"/>
      <c r="D12" s="288"/>
      <c r="E12" s="288"/>
      <c r="F12" s="288"/>
      <c r="G12" s="289"/>
      <c r="H12" s="289"/>
      <c r="I12" s="289"/>
      <c r="J12" s="289"/>
      <c r="K12" s="289"/>
    </row>
    <row r="13" spans="1:12" ht="31.5" x14ac:dyDescent="0.25">
      <c r="A13" s="290" t="s">
        <v>453</v>
      </c>
      <c r="B13" s="283">
        <v>2021</v>
      </c>
      <c r="C13" s="283">
        <v>2022</v>
      </c>
      <c r="D13" s="283">
        <v>2023</v>
      </c>
      <c r="E13" s="283">
        <v>2024</v>
      </c>
      <c r="F13" s="283">
        <v>2025</v>
      </c>
      <c r="G13" s="283">
        <v>2026</v>
      </c>
      <c r="H13" s="283">
        <v>2027</v>
      </c>
      <c r="I13" s="283">
        <v>2028</v>
      </c>
      <c r="J13" s="283">
        <v>2029</v>
      </c>
      <c r="K13" s="283">
        <v>2030</v>
      </c>
      <c r="L13" s="283">
        <v>2031</v>
      </c>
    </row>
    <row r="14" spans="1:12" x14ac:dyDescent="0.2">
      <c r="A14" s="286" t="s">
        <v>454</v>
      </c>
      <c r="B14" s="292">
        <f>0</f>
        <v>0</v>
      </c>
      <c r="C14" s="292">
        <f>'Экономическая модель проекта'!E19</f>
        <v>0</v>
      </c>
      <c r="D14" s="292">
        <f>'Экономическая модель проекта'!F19</f>
        <v>0</v>
      </c>
      <c r="E14" s="292">
        <f>'Экономическая модель проекта'!G19</f>
        <v>0</v>
      </c>
      <c r="F14" s="292">
        <f>'Экономическая модель проекта'!H19</f>
        <v>12.24</v>
      </c>
      <c r="G14" s="292">
        <f>'Экономическая модель проекта'!I19</f>
        <v>24.48</v>
      </c>
      <c r="H14" s="292">
        <f>'Экономическая модель проекта'!J19</f>
        <v>36.72</v>
      </c>
      <c r="I14" s="292">
        <f>'Экономическая модель проекта'!K19</f>
        <v>48.96</v>
      </c>
      <c r="J14" s="292">
        <f>'Экономическая модель проекта'!L19</f>
        <v>61.2</v>
      </c>
      <c r="K14" s="292">
        <f>'Экономическая модель проекта'!M19</f>
        <v>73.44</v>
      </c>
      <c r="L14" s="292">
        <f>'Экономическая модель проекта'!N19</f>
        <v>73.44</v>
      </c>
    </row>
    <row r="15" spans="1:12" x14ac:dyDescent="0.2">
      <c r="A15" s="286" t="s">
        <v>455</v>
      </c>
      <c r="B15" s="292">
        <f>'Экономическая модель проекта'!D4+'Экономическая модель проекта'!D6+'Экономическая модель проекта'!D8</f>
        <v>10</v>
      </c>
      <c r="C15" s="292">
        <f>'Экономическая модель проекта'!E4+'Экономическая модель проекта'!E6+'Экономическая модель проекта'!E8</f>
        <v>8.64</v>
      </c>
      <c r="D15" s="292">
        <f>'Экономическая модель проекта'!F4+'Экономическая модель проекта'!F6+'Экономическая модель проекта'!F8</f>
        <v>0</v>
      </c>
      <c r="E15" s="292">
        <f>'Экономическая модель проекта'!G4+'Экономическая модель проекта'!G6+'Экономическая модель проекта'!G8</f>
        <v>0</v>
      </c>
      <c r="F15" s="292">
        <f>'Экономическая модель проекта'!H4+'Экономическая модель проекта'!H6+'Экономическая модель проекта'!H8</f>
        <v>0</v>
      </c>
      <c r="G15" s="292">
        <f>'Экономическая модель проекта'!I4+'Экономическая модель проекта'!I6+'Экономическая модель проекта'!I8</f>
        <v>1.3599999999999994</v>
      </c>
      <c r="H15" s="292">
        <f>'Экономическая модель проекта'!J4+'Экономическая модель проекта'!J6+'Экономическая модель проекта'!J8</f>
        <v>0</v>
      </c>
      <c r="I15" s="292">
        <f>'Экономическая модель проекта'!K4+'Экономическая модель проекта'!K6+'Экономическая модель проекта'!K8</f>
        <v>0</v>
      </c>
      <c r="J15" s="292">
        <f>'Экономическая модель проекта'!L4+'Экономическая модель проекта'!L6+'Экономическая модель проекта'!L8</f>
        <v>0</v>
      </c>
      <c r="K15" s="292">
        <f>'Экономическая модель проекта'!M4+'Экономическая модель проекта'!M6+'Экономическая модель проекта'!M8</f>
        <v>0</v>
      </c>
      <c r="L15" s="292">
        <f>'Экономическая модель проекта'!N4+'Экономическая модель проекта'!N6+'Экономическая модель проекта'!N8</f>
        <v>0</v>
      </c>
    </row>
    <row r="16" spans="1:12" x14ac:dyDescent="0.2">
      <c r="B16" s="288"/>
      <c r="C16" s="288"/>
      <c r="D16" s="288"/>
      <c r="E16" s="288"/>
      <c r="F16" s="288"/>
      <c r="G16" s="289"/>
      <c r="H16" s="289"/>
      <c r="I16" s="289"/>
      <c r="J16" s="289"/>
      <c r="K16" s="289"/>
    </row>
    <row r="17" spans="1:12" x14ac:dyDescent="0.2">
      <c r="A17" s="287"/>
      <c r="B17" s="288"/>
      <c r="C17" s="288"/>
      <c r="D17" s="288"/>
      <c r="E17" s="288"/>
      <c r="F17" s="288"/>
      <c r="G17" s="289"/>
      <c r="H17" s="289"/>
      <c r="I17" s="289"/>
      <c r="J17" s="289"/>
      <c r="K17" s="289"/>
    </row>
    <row r="18" spans="1:12" x14ac:dyDescent="0.2">
      <c r="A18" s="287"/>
      <c r="B18" s="288"/>
      <c r="C18" s="288"/>
      <c r="D18" s="288"/>
      <c r="E18" s="288"/>
      <c r="F18" s="288"/>
      <c r="G18" s="289"/>
      <c r="H18" s="289"/>
      <c r="I18" s="289"/>
      <c r="J18" s="289"/>
      <c r="K18" s="289"/>
    </row>
    <row r="19" spans="1:12" x14ac:dyDescent="0.2">
      <c r="A19" s="287"/>
      <c r="B19" s="288"/>
      <c r="C19" s="288"/>
      <c r="D19" s="288"/>
      <c r="E19" s="288"/>
      <c r="F19" s="288"/>
      <c r="G19" s="289"/>
      <c r="H19" s="289"/>
      <c r="I19" s="289"/>
      <c r="J19" s="289"/>
      <c r="K19" s="289"/>
    </row>
    <row r="20" spans="1:12" x14ac:dyDescent="0.2">
      <c r="A20" s="287"/>
      <c r="B20" s="288"/>
      <c r="C20" s="288"/>
      <c r="D20" s="288"/>
      <c r="E20" s="288"/>
      <c r="F20" s="288"/>
      <c r="G20" s="289"/>
      <c r="H20" s="289"/>
      <c r="I20" s="289"/>
      <c r="J20" s="289"/>
      <c r="K20" s="289"/>
    </row>
    <row r="21" spans="1:12" x14ac:dyDescent="0.2">
      <c r="A21" s="287"/>
      <c r="B21" s="288"/>
      <c r="C21" s="288"/>
      <c r="D21" s="288"/>
      <c r="E21" s="288"/>
      <c r="F21" s="288"/>
      <c r="G21" s="289"/>
      <c r="H21" s="289"/>
      <c r="I21" s="289"/>
      <c r="J21" s="289"/>
      <c r="K21" s="289"/>
    </row>
    <row r="22" spans="1:12" x14ac:dyDescent="0.2">
      <c r="A22" s="287"/>
      <c r="B22" s="288"/>
      <c r="C22" s="288"/>
      <c r="D22" s="288"/>
      <c r="E22" s="288"/>
      <c r="F22" s="288"/>
      <c r="G22" s="289"/>
      <c r="H22" s="289"/>
      <c r="I22" s="289"/>
      <c r="J22" s="289"/>
      <c r="K22" s="289"/>
    </row>
    <row r="23" spans="1:12" x14ac:dyDescent="0.2">
      <c r="A23" s="287"/>
      <c r="B23" s="288"/>
      <c r="C23" s="288"/>
      <c r="D23" s="288"/>
      <c r="E23" s="288"/>
      <c r="F23" s="288"/>
      <c r="G23" s="289"/>
      <c r="H23" s="289"/>
      <c r="I23" s="289"/>
      <c r="J23" s="289"/>
      <c r="K23" s="289"/>
    </row>
    <row r="24" spans="1:12" x14ac:dyDescent="0.2">
      <c r="A24" s="287"/>
      <c r="B24" s="288"/>
      <c r="C24" s="288"/>
      <c r="D24" s="288"/>
      <c r="E24" s="288"/>
      <c r="F24" s="288"/>
      <c r="G24" s="289"/>
      <c r="H24" s="289"/>
      <c r="I24" s="289"/>
      <c r="J24" s="289"/>
      <c r="K24" s="289"/>
    </row>
    <row r="25" spans="1:12" x14ac:dyDescent="0.2">
      <c r="A25" s="287"/>
      <c r="B25" s="288"/>
      <c r="C25" s="288"/>
      <c r="D25" s="288"/>
      <c r="E25" s="288"/>
      <c r="F25" s="288"/>
      <c r="G25" s="289"/>
      <c r="H25" s="289"/>
      <c r="I25" s="289"/>
      <c r="J25" s="289"/>
      <c r="K25" s="289"/>
    </row>
    <row r="26" spans="1:12" x14ac:dyDescent="0.2">
      <c r="A26" s="287"/>
      <c r="B26" s="288"/>
      <c r="C26" s="288"/>
      <c r="D26" s="288"/>
      <c r="E26" s="288"/>
      <c r="F26" s="288"/>
      <c r="G26" s="289"/>
      <c r="H26" s="289"/>
      <c r="I26" s="289"/>
      <c r="J26" s="289"/>
      <c r="K26" s="289"/>
    </row>
    <row r="27" spans="1:12" x14ac:dyDescent="0.2">
      <c r="A27" s="289"/>
      <c r="B27" s="288"/>
      <c r="C27" s="288"/>
      <c r="D27" s="288"/>
      <c r="E27" s="288"/>
      <c r="F27" s="288"/>
      <c r="G27" s="289"/>
      <c r="H27" s="289"/>
      <c r="I27" s="289"/>
      <c r="J27" s="289"/>
      <c r="K27" s="289"/>
    </row>
    <row r="28" spans="1:12" x14ac:dyDescent="0.2">
      <c r="A28" s="289"/>
      <c r="B28" s="288"/>
      <c r="C28" s="288"/>
      <c r="D28" s="288"/>
      <c r="E28" s="288"/>
      <c r="F28" s="288"/>
      <c r="G28" s="289"/>
      <c r="H28" s="289"/>
      <c r="I28" s="289"/>
      <c r="J28" s="289"/>
      <c r="K28" s="289"/>
      <c r="L28" s="289"/>
    </row>
    <row r="29" spans="1:12" ht="45" x14ac:dyDescent="0.2">
      <c r="A29" s="293" t="s">
        <v>456</v>
      </c>
      <c r="B29" s="294" t="s">
        <v>457</v>
      </c>
      <c r="C29" s="294" t="s">
        <v>458</v>
      </c>
      <c r="D29" s="288"/>
      <c r="E29" s="288"/>
      <c r="F29" s="288"/>
      <c r="G29" s="289"/>
      <c r="H29" s="289"/>
      <c r="I29" s="289"/>
      <c r="J29" s="289"/>
      <c r="K29" s="289"/>
    </row>
    <row r="30" spans="1:12" ht="30" x14ac:dyDescent="0.2">
      <c r="A30" s="425" t="s">
        <v>459</v>
      </c>
      <c r="B30" s="292">
        <f>'Исходные данные'!D12</f>
        <v>10</v>
      </c>
      <c r="C30" s="292">
        <f>'Экономическая модель проекта'!D18-'Экономическая модель проекта'!D20</f>
        <v>60.48</v>
      </c>
      <c r="D30" s="288"/>
      <c r="E30" s="288"/>
      <c r="F30" s="288"/>
      <c r="G30" s="289"/>
      <c r="H30" s="289"/>
      <c r="I30" s="289"/>
      <c r="J30" s="289"/>
      <c r="K30" s="289"/>
    </row>
    <row r="31" spans="1:12" x14ac:dyDescent="0.2">
      <c r="A31" s="286" t="s">
        <v>460</v>
      </c>
      <c r="B31" s="292">
        <f>'Исходные данные'!D20</f>
        <v>0.32</v>
      </c>
      <c r="C31" s="292">
        <f>'Экономическая модель проекта'!D22+'Экономическая модель проекта'!D20</f>
        <v>21.96</v>
      </c>
      <c r="D31" s="288"/>
      <c r="E31" s="288"/>
      <c r="F31" s="288"/>
      <c r="G31" s="289"/>
      <c r="H31" s="289"/>
      <c r="I31" s="289"/>
      <c r="J31" s="289"/>
      <c r="K31" s="289"/>
    </row>
    <row r="32" spans="1:12" x14ac:dyDescent="0.2">
      <c r="A32" s="286" t="s">
        <v>461</v>
      </c>
      <c r="B32" s="292">
        <f>'Исходные данные'!D26</f>
        <v>0</v>
      </c>
      <c r="C32" s="292">
        <f>'Экономическая модель проекта'!D24</f>
        <v>1.1995199999999999</v>
      </c>
      <c r="D32" s="288"/>
      <c r="E32" s="288"/>
      <c r="F32" s="288"/>
      <c r="G32" s="289"/>
      <c r="H32" s="289"/>
      <c r="I32" s="289"/>
      <c r="J32" s="289"/>
      <c r="K32" s="289"/>
    </row>
    <row r="33" spans="1:12" ht="45" x14ac:dyDescent="0.25">
      <c r="A33" s="290" t="s">
        <v>462</v>
      </c>
      <c r="B33" s="294" t="s">
        <v>457</v>
      </c>
      <c r="C33" s="294" t="s">
        <v>458</v>
      </c>
      <c r="D33" s="288"/>
      <c r="E33" s="288"/>
      <c r="F33" s="288"/>
      <c r="G33" s="289"/>
      <c r="H33" s="289"/>
      <c r="I33" s="289"/>
      <c r="J33" s="289"/>
      <c r="K33" s="289"/>
    </row>
    <row r="34" spans="1:12" ht="30" x14ac:dyDescent="0.2">
      <c r="A34" s="286" t="s">
        <v>459</v>
      </c>
      <c r="B34" s="296">
        <f>B30/SUM($B$30:$B$32)</f>
        <v>0.96899224806201545</v>
      </c>
      <c r="C34" s="296">
        <f>C30/SUM($C$30:$C$32)</f>
        <v>0.72310314549868282</v>
      </c>
      <c r="D34" s="288"/>
      <c r="E34" s="288"/>
      <c r="F34" s="288"/>
      <c r="G34" s="289"/>
      <c r="H34" s="289"/>
      <c r="I34" s="289"/>
      <c r="J34" s="289"/>
      <c r="K34" s="289"/>
    </row>
    <row r="35" spans="1:12" x14ac:dyDescent="0.2">
      <c r="A35" s="286" t="s">
        <v>460</v>
      </c>
      <c r="B35" s="296">
        <f t="shared" ref="B35:B36" si="0">B31/SUM($B$30:$B$32)</f>
        <v>3.1007751937984496E-2</v>
      </c>
      <c r="C35" s="296">
        <f t="shared" ref="C35" si="1">C31/SUM($C$30:$C$32)</f>
        <v>0.26255530878225986</v>
      </c>
      <c r="D35" s="288"/>
      <c r="E35" s="288"/>
      <c r="F35" s="288"/>
      <c r="G35" s="289"/>
      <c r="H35" s="289"/>
      <c r="I35" s="289"/>
      <c r="J35" s="289"/>
      <c r="K35" s="289"/>
    </row>
    <row r="36" spans="1:12" x14ac:dyDescent="0.2">
      <c r="A36" s="286" t="s">
        <v>461</v>
      </c>
      <c r="B36" s="296">
        <f t="shared" si="0"/>
        <v>0</v>
      </c>
      <c r="C36" s="296">
        <f>C32/SUM($C$30:$C$32)</f>
        <v>1.434154571905721E-2</v>
      </c>
      <c r="D36" s="288"/>
      <c r="E36" s="288"/>
      <c r="F36" s="288"/>
      <c r="G36" s="289"/>
      <c r="H36" s="289"/>
      <c r="I36" s="289"/>
      <c r="J36" s="289"/>
      <c r="K36" s="289"/>
    </row>
    <row r="37" spans="1:12" x14ac:dyDescent="0.2">
      <c r="A37" s="287"/>
      <c r="B37" s="288"/>
      <c r="C37" s="297"/>
      <c r="D37" s="297"/>
      <c r="E37" s="288"/>
      <c r="F37" s="288"/>
      <c r="G37" s="289"/>
      <c r="H37" s="289"/>
      <c r="I37" s="289"/>
      <c r="J37" s="289"/>
      <c r="K37" s="289"/>
      <c r="L37" s="289"/>
    </row>
    <row r="38" spans="1:12" x14ac:dyDescent="0.2">
      <c r="A38" s="287"/>
      <c r="B38" s="288"/>
      <c r="C38" s="297"/>
      <c r="D38" s="297"/>
      <c r="E38" s="288"/>
      <c r="F38" s="288"/>
      <c r="G38" s="289"/>
      <c r="H38" s="289"/>
      <c r="I38" s="289"/>
      <c r="J38" s="289"/>
      <c r="K38" s="289"/>
      <c r="L38" s="289"/>
    </row>
    <row r="39" spans="1:12" x14ac:dyDescent="0.2">
      <c r="A39" s="287"/>
      <c r="B39" s="288"/>
      <c r="C39" s="297"/>
      <c r="D39" s="297"/>
      <c r="E39" s="288"/>
      <c r="F39" s="288"/>
      <c r="G39" s="289"/>
      <c r="H39" s="289"/>
      <c r="I39" s="289"/>
      <c r="J39" s="289"/>
      <c r="K39" s="289"/>
      <c r="L39" s="289"/>
    </row>
    <row r="40" spans="1:12" x14ac:dyDescent="0.2">
      <c r="A40" s="287"/>
      <c r="B40" s="288"/>
      <c r="C40" s="297"/>
      <c r="D40" s="297"/>
      <c r="E40" s="288"/>
      <c r="F40" s="288"/>
      <c r="G40" s="289"/>
      <c r="H40" s="289"/>
      <c r="I40" s="289"/>
      <c r="J40" s="289"/>
      <c r="K40" s="289"/>
      <c r="L40" s="289"/>
    </row>
    <row r="41" spans="1:12" x14ac:dyDescent="0.2">
      <c r="A41" s="287"/>
      <c r="B41" s="288"/>
      <c r="C41" s="297"/>
      <c r="D41" s="297"/>
      <c r="E41" s="288"/>
      <c r="F41" s="288"/>
      <c r="G41" s="289"/>
      <c r="H41" s="289"/>
      <c r="I41" s="289"/>
      <c r="J41" s="289"/>
      <c r="K41" s="289"/>
      <c r="L41" s="289"/>
    </row>
    <row r="42" spans="1:12" x14ac:dyDescent="0.2">
      <c r="A42" s="287"/>
      <c r="B42" s="288"/>
      <c r="C42" s="297"/>
      <c r="D42" s="297"/>
      <c r="E42" s="288"/>
      <c r="F42" s="288"/>
      <c r="G42" s="289"/>
      <c r="H42" s="289"/>
      <c r="I42" s="289"/>
      <c r="J42" s="289"/>
      <c r="K42" s="289"/>
      <c r="L42" s="289"/>
    </row>
    <row r="43" spans="1:12" x14ac:dyDescent="0.2">
      <c r="A43" s="298"/>
      <c r="B43" s="299"/>
      <c r="C43" s="299"/>
      <c r="D43" s="299"/>
      <c r="E43" s="299"/>
      <c r="F43" s="299"/>
    </row>
    <row r="44" spans="1:12" x14ac:dyDescent="0.2">
      <c r="A44" s="298"/>
      <c r="B44" s="299"/>
      <c r="C44" s="299"/>
      <c r="D44" s="299"/>
      <c r="E44" s="299"/>
      <c r="F44" s="299"/>
    </row>
    <row r="45" spans="1:12" x14ac:dyDescent="0.2">
      <c r="B45" s="299"/>
      <c r="C45" s="299"/>
      <c r="D45" s="299"/>
      <c r="E45" s="299"/>
      <c r="F45" s="299"/>
    </row>
    <row r="46" spans="1:12" ht="31.5" x14ac:dyDescent="0.2">
      <c r="A46" s="293" t="s">
        <v>463</v>
      </c>
      <c r="B46" s="283">
        <v>2022</v>
      </c>
      <c r="C46" s="283">
        <v>2023</v>
      </c>
      <c r="D46" s="283">
        <v>2024</v>
      </c>
      <c r="E46" s="283">
        <v>2025</v>
      </c>
      <c r="F46" s="283">
        <v>2026</v>
      </c>
      <c r="G46" s="283">
        <v>2027</v>
      </c>
      <c r="H46" s="283">
        <v>2028</v>
      </c>
      <c r="I46" s="283">
        <v>2029</v>
      </c>
      <c r="J46" s="283">
        <v>2030</v>
      </c>
      <c r="K46" s="283">
        <v>2031</v>
      </c>
    </row>
    <row r="47" spans="1:12" x14ac:dyDescent="0.2">
      <c r="A47" s="286" t="str">
        <f>'Экономическая модель проекта'!A106</f>
        <v>Затраты на снос</v>
      </c>
      <c r="B47" s="292">
        <f>'Экономическая модель проекта'!E106</f>
        <v>13.977600000000002</v>
      </c>
      <c r="C47" s="292">
        <f>'Экономическая модель проекта'!F106</f>
        <v>0</v>
      </c>
      <c r="D47" s="292">
        <f>'Экономическая модель проекта'!G106</f>
        <v>0</v>
      </c>
      <c r="E47" s="292">
        <f>'Экономическая модель проекта'!H106</f>
        <v>0</v>
      </c>
      <c r="F47" s="292">
        <f>'Экономическая модель проекта'!I106</f>
        <v>2.4819719208959992</v>
      </c>
      <c r="G47" s="292">
        <f>'Экономическая модель проекта'!J106</f>
        <v>0</v>
      </c>
      <c r="H47" s="292">
        <f>'Экономическая модель проекта'!K106</f>
        <v>0</v>
      </c>
      <c r="I47" s="292">
        <f>'Экономическая модель проекта'!L106</f>
        <v>0</v>
      </c>
      <c r="J47" s="292">
        <f>'Экономическая модель проекта'!M106</f>
        <v>0</v>
      </c>
      <c r="K47" s="292">
        <f>'Экономическая модель проекта'!N106</f>
        <v>0</v>
      </c>
    </row>
    <row r="48" spans="1:12" x14ac:dyDescent="0.2">
      <c r="A48" s="286" t="str">
        <f>'Экономическая модель проекта'!A107</f>
        <v>СМР (жилищное строительство)</v>
      </c>
      <c r="B48" s="292">
        <f>'Экономическая модель проекта'!E107</f>
        <v>0</v>
      </c>
      <c r="C48" s="292">
        <f>'Экономическая модель проекта'!F107</f>
        <v>212.39952015360004</v>
      </c>
      <c r="D48" s="292">
        <f>'Экономическая модель проекта'!G107</f>
        <v>441.79100191948805</v>
      </c>
      <c r="E48" s="292">
        <f>'Экономическая модель проекта'!H107</f>
        <v>689.19396299440132</v>
      </c>
      <c r="F48" s="292">
        <f>'Экономическая модель проекта'!I107</f>
        <v>689.19396299440132</v>
      </c>
      <c r="G48" s="292">
        <f>'Экономическая модель проекта'!J107</f>
        <v>716.76172151417757</v>
      </c>
      <c r="H48" s="292">
        <f>'Экономическая модель проекта'!K107</f>
        <v>716.76172151417757</v>
      </c>
      <c r="I48" s="292">
        <f>'Экономическая модель проекта'!L107</f>
        <v>496.95479358316311</v>
      </c>
      <c r="J48" s="292">
        <f>'Экономическая модель проекта'!M107</f>
        <v>258.41649266324481</v>
      </c>
      <c r="K48" s="292">
        <f>'Экономическая модель проекта'!N107</f>
        <v>0</v>
      </c>
    </row>
    <row r="49" spans="1:11" ht="30" x14ac:dyDescent="0.2">
      <c r="A49" s="286" t="str">
        <f>'Экономическая модель проекта'!A108</f>
        <v>СМР (нежилые помещения на первых этажах МКД)</v>
      </c>
      <c r="B49" s="292">
        <f>'Экономическая модель проекта'!E108</f>
        <v>0</v>
      </c>
      <c r="C49" s="292">
        <f>'Экономическая модель проекта'!F108</f>
        <v>37.482268262400012</v>
      </c>
      <c r="D49" s="292">
        <f>'Экономическая модель проекта'!G108</f>
        <v>77.96311798579201</v>
      </c>
      <c r="E49" s="292">
        <f>'Экономическая модель проекта'!H108</f>
        <v>121.62246405783553</v>
      </c>
      <c r="F49" s="292">
        <f>'Экономическая модель проекта'!I108</f>
        <v>121.62246405783553</v>
      </c>
      <c r="G49" s="292">
        <f>'Экономическая модель проекта'!J108</f>
        <v>126.48736262014899</v>
      </c>
      <c r="H49" s="292">
        <f>'Экономическая модель проекта'!K108</f>
        <v>126.48736262014899</v>
      </c>
      <c r="I49" s="292">
        <f>'Экономическая модель проекта'!L108</f>
        <v>87.697904749969965</v>
      </c>
      <c r="J49" s="292">
        <f>'Экономическая модель проекта'!M108</f>
        <v>45.60291046998438</v>
      </c>
      <c r="K49" s="292">
        <f>'Экономическая модель проекта'!N108</f>
        <v>0</v>
      </c>
    </row>
    <row r="50" spans="1:11" ht="30" x14ac:dyDescent="0.2">
      <c r="A50" s="286" t="str">
        <f>'Экономическая модель проекта'!A109</f>
        <v>СМР (нежилые помещения в отдельно стоящих коммерческих зданиях)</v>
      </c>
      <c r="B50" s="292">
        <f>'Экономическая модель проекта'!E109</f>
        <v>0</v>
      </c>
      <c r="C50" s="292">
        <f>'Экономическая модель проекта'!F109</f>
        <v>0</v>
      </c>
      <c r="D50" s="292">
        <f>'Экономическая модель проекта'!G109</f>
        <v>0</v>
      </c>
      <c r="E50" s="292">
        <f>'Экономическая модель проекта'!H109</f>
        <v>0</v>
      </c>
      <c r="F50" s="292">
        <f>'Экономическая модель проекта'!I109</f>
        <v>0</v>
      </c>
      <c r="G50" s="292">
        <f>'Экономическая модель проекта'!J109</f>
        <v>0</v>
      </c>
      <c r="H50" s="292">
        <f>'Экономическая модель проекта'!K109</f>
        <v>0</v>
      </c>
      <c r="I50" s="292">
        <f>'Экономическая модель проекта'!L109</f>
        <v>0</v>
      </c>
      <c r="J50" s="292">
        <f>'Экономическая модель проекта'!M109</f>
        <v>0</v>
      </c>
      <c r="K50" s="292">
        <f>'Экономическая модель проекта'!N109</f>
        <v>849.95626840011346</v>
      </c>
    </row>
    <row r="51" spans="1:11" x14ac:dyDescent="0.2">
      <c r="A51" s="286" t="str">
        <f>'Экономическая модель проекта'!A110</f>
        <v>Социальная инфраструктура</v>
      </c>
      <c r="B51" s="292">
        <f>'Экономическая модель проекта'!E110</f>
        <v>0</v>
      </c>
      <c r="C51" s="292">
        <f>'Экономическая модель проекта'!F110</f>
        <v>0</v>
      </c>
      <c r="D51" s="292">
        <f>'Экономическая модель проекта'!G110</f>
        <v>0</v>
      </c>
      <c r="E51" s="292">
        <f>'Экономическая модель проекта'!H110</f>
        <v>35.081718497279994</v>
      </c>
      <c r="F51" s="292">
        <f>'Экономическая модель проекта'!I110</f>
        <v>36.484987237171204</v>
      </c>
      <c r="G51" s="292">
        <f>'Экономическая модель проекта'!J110</f>
        <v>37.94438672665806</v>
      </c>
      <c r="H51" s="292">
        <f>'Экономическая модель проекта'!K110</f>
        <v>39.462162195724382</v>
      </c>
      <c r="I51" s="292">
        <f>'Экономическая модель проекта'!L110</f>
        <v>41.040648683553364</v>
      </c>
      <c r="J51" s="292">
        <f>'Экономическая модель проекта'!M110</f>
        <v>42.682274630895499</v>
      </c>
      <c r="K51" s="292">
        <f>'Экономическая модель проекта'!N110</f>
        <v>0</v>
      </c>
    </row>
    <row r="52" spans="1:11" x14ac:dyDescent="0.2">
      <c r="A52" s="286" t="str">
        <f>'Экономическая модель проекта'!A111</f>
        <v>Транспортная инфраструктура</v>
      </c>
      <c r="B52" s="292">
        <f>'Экономическая модель проекта'!E111</f>
        <v>0</v>
      </c>
      <c r="C52" s="292">
        <f>'Экономическая модель проекта'!F111</f>
        <v>0</v>
      </c>
      <c r="D52" s="292">
        <f>'Экономическая модель проекта'!G111</f>
        <v>0</v>
      </c>
      <c r="E52" s="292">
        <f>'Экономическая модель проекта'!H111</f>
        <v>28.638137548800007</v>
      </c>
      <c r="F52" s="292">
        <f>'Экономическая модель проекта'!I111</f>
        <v>29.783663050752008</v>
      </c>
      <c r="G52" s="292">
        <f>'Экономическая модель проекта'!J111</f>
        <v>30.975009572782088</v>
      </c>
      <c r="H52" s="292">
        <f>'Экономическая модель проекта'!K111</f>
        <v>32.214009955693378</v>
      </c>
      <c r="I52" s="292">
        <f>'Экономическая модель проекта'!L111</f>
        <v>33.502570353921108</v>
      </c>
      <c r="J52" s="292">
        <f>'Экономическая модель проекта'!M111</f>
        <v>34.842673168077958</v>
      </c>
      <c r="K52" s="292">
        <f>'Экономическая модель проекта'!N111</f>
        <v>0</v>
      </c>
    </row>
    <row r="53" spans="1:11" x14ac:dyDescent="0.2">
      <c r="A53" s="286" t="str">
        <f>'Экономическая модель проекта'!A112</f>
        <v>Инженерная инфраструктура</v>
      </c>
      <c r="B53" s="292">
        <f>'Экономическая модель проекта'!E112</f>
        <v>0</v>
      </c>
      <c r="C53" s="292">
        <f>'Экономическая модель проекта'!F112</f>
        <v>0</v>
      </c>
      <c r="D53" s="292">
        <f>'Экономическая модель проекта'!G112</f>
        <v>0</v>
      </c>
      <c r="E53" s="292">
        <f>'Экономическая модель проекта'!H112</f>
        <v>85.91441264640001</v>
      </c>
      <c r="F53" s="292">
        <f>'Экономическая модель проекта'!I112</f>
        <v>89.350989152256005</v>
      </c>
      <c r="G53" s="292">
        <f>'Экономическая модель проекта'!J112</f>
        <v>92.925028718346255</v>
      </c>
      <c r="H53" s="292">
        <f>'Экономическая модель проекта'!K112</f>
        <v>96.642029867080112</v>
      </c>
      <c r="I53" s="292">
        <f>'Экономическая модель проекта'!L112</f>
        <v>100.50771106176332</v>
      </c>
      <c r="J53" s="292">
        <f>'Экономическая модель проекта'!M112</f>
        <v>104.52801950423387</v>
      </c>
      <c r="K53" s="292">
        <f>'Экономическая модель проекта'!N112</f>
        <v>0</v>
      </c>
    </row>
    <row r="54" spans="1:11" ht="30" x14ac:dyDescent="0.2">
      <c r="A54" s="286" t="str">
        <f>'Экономическая модель проекта'!A113</f>
        <v xml:space="preserve">Благоустройство территорий общего пользования </v>
      </c>
      <c r="B54" s="292">
        <f>'Экономическая модель проекта'!E113</f>
        <v>0</v>
      </c>
      <c r="C54" s="292">
        <f>'Экономическая модель проекта'!F113</f>
        <v>0</v>
      </c>
      <c r="D54" s="292">
        <f>'Экономическая модель проекта'!G113</f>
        <v>0</v>
      </c>
      <c r="E54" s="292">
        <f>'Экономическая модель проекта'!H113</f>
        <v>28.638137548800007</v>
      </c>
      <c r="F54" s="292">
        <f>'Экономическая модель проекта'!I113</f>
        <v>29.783663050752008</v>
      </c>
      <c r="G54" s="292">
        <f>'Экономическая модель проекта'!J113</f>
        <v>30.975009572782088</v>
      </c>
      <c r="H54" s="292">
        <f>'Экономическая модель проекта'!K113</f>
        <v>32.214009955693378</v>
      </c>
      <c r="I54" s="292">
        <f>'Экономическая модель проекта'!L113</f>
        <v>33.502570353921108</v>
      </c>
      <c r="J54" s="292">
        <f>'Экономическая модель проекта'!M113</f>
        <v>34.842673168077958</v>
      </c>
      <c r="K54" s="292">
        <f>'Экономическая модель проекта'!N113</f>
        <v>0</v>
      </c>
    </row>
    <row r="55" spans="1:11" s="289" customFormat="1" x14ac:dyDescent="0.2">
      <c r="A55" s="286" t="str">
        <f>'Экономическая модель проекта'!A114</f>
        <v>Парковки подземные</v>
      </c>
      <c r="B55" s="292">
        <f>'Экономическая модель проекта'!E114</f>
        <v>0</v>
      </c>
      <c r="C55" s="292">
        <f>'Экономическая модель проекта'!F114</f>
        <v>16.015718904177948</v>
      </c>
      <c r="D55" s="292">
        <f>'Экономическая модель проекта'!G114</f>
        <v>34.64520313351774</v>
      </c>
      <c r="E55" s="292">
        <f>'Экономическая модель проекта'!H114</f>
        <v>56.208377563819177</v>
      </c>
      <c r="F55" s="292">
        <f>'Экономическая модель проекта'!I114</f>
        <v>58.456712666371942</v>
      </c>
      <c r="G55" s="292">
        <f>'Экономическая модель проекта'!J114</f>
        <v>63.226780419947907</v>
      </c>
      <c r="H55" s="292">
        <f>'Экономическая модель проекта'!K114</f>
        <v>65.755851636745817</v>
      </c>
      <c r="I55" s="292">
        <f>'Экономическая модель проекта'!L114</f>
        <v>47.414352753536193</v>
      </c>
      <c r="J55" s="292">
        <f>'Экономическая модель проекта'!M114</f>
        <v>25.641681969112373</v>
      </c>
      <c r="K55" s="292">
        <f>'Экономическая модель проекта'!N114</f>
        <v>0</v>
      </c>
    </row>
    <row r="56" spans="1:11" s="289" customFormat="1" ht="30" x14ac:dyDescent="0.2">
      <c r="A56" s="286" t="str">
        <f>'Экономическая модель проекта'!A116</f>
        <v>Суммарные прямые расходы застройщика на переселение и выкуп нежилых помещений</v>
      </c>
      <c r="B56" s="292">
        <f>'Экономическая модель проекта'!E116</f>
        <v>824.89062399999989</v>
      </c>
      <c r="C56" s="292">
        <f>'Экономическая модель проекта'!F116</f>
        <v>0</v>
      </c>
      <c r="D56" s="292">
        <f>'Экономическая модель проекта'!G116</f>
        <v>0</v>
      </c>
      <c r="E56" s="292">
        <f>'Экономическая модель проекта'!H116</f>
        <v>0</v>
      </c>
      <c r="F56" s="292">
        <f>'Экономическая модель проекта'!I116</f>
        <v>0</v>
      </c>
      <c r="G56" s="292">
        <f>'Экономическая модель проекта'!J116</f>
        <v>0</v>
      </c>
      <c r="H56" s="292">
        <f>'Экономическая модель проекта'!K116</f>
        <v>0</v>
      </c>
      <c r="I56" s="292">
        <f>'Экономическая модель проекта'!L116</f>
        <v>0</v>
      </c>
      <c r="J56" s="292">
        <f>'Экономическая модель проекта'!M116</f>
        <v>0</v>
      </c>
      <c r="K56" s="292">
        <f>'Экономическая модель проекта'!N116</f>
        <v>0</v>
      </c>
    </row>
    <row r="57" spans="1:11" s="289" customFormat="1" x14ac:dyDescent="0.2">
      <c r="A57" s="286" t="str">
        <f>'Экономическая модель проекта'!A117</f>
        <v xml:space="preserve">Иные расходы </v>
      </c>
      <c r="B57" s="292">
        <f>'Экономическая модель проекта'!E117</f>
        <v>41.9434112</v>
      </c>
      <c r="C57" s="292">
        <f>'Экономическая модель проекта'!F117</f>
        <v>13.294875366008903</v>
      </c>
      <c r="D57" s="292">
        <f>'Экономическая модель проекта'!G117</f>
        <v>27.719966151939889</v>
      </c>
      <c r="E57" s="292">
        <f>'Экономическая модель проекта'!H117</f>
        <v>52.264860542866806</v>
      </c>
      <c r="F57" s="292">
        <f>'Экономическая модель проекта'!I117</f>
        <v>52.85792070652181</v>
      </c>
      <c r="G57" s="292">
        <f>'Экономическая модель проекта'!J117</f>
        <v>54.964764957242153</v>
      </c>
      <c r="H57" s="292">
        <f>'Экономическая модель проекта'!K117</f>
        <v>55.47685738726318</v>
      </c>
      <c r="I57" s="292">
        <f>'Экономическая модель проекта'!L117</f>
        <v>42.031027576991413</v>
      </c>
      <c r="J57" s="292">
        <f>'Экономическая модель проекта'!M117</f>
        <v>27.327836278681339</v>
      </c>
      <c r="K57" s="292">
        <f>'Экономическая модель проекта'!N117</f>
        <v>42.497813420005677</v>
      </c>
    </row>
    <row r="58" spans="1:11" s="289" customFormat="1" x14ac:dyDescent="0.2">
      <c r="A58" s="286" t="str">
        <f>'Экономическая модель проекта'!A119</f>
        <v>Цена торгов на право заключить договор КРТ</v>
      </c>
      <c r="B58" s="292">
        <f>'Экономическая модель проекта'!E119</f>
        <v>100</v>
      </c>
      <c r="C58" s="292">
        <f>'Экономическая модель проекта'!F119</f>
        <v>0</v>
      </c>
      <c r="D58" s="292">
        <f>'Экономическая модель проекта'!G119</f>
        <v>0</v>
      </c>
      <c r="E58" s="292">
        <f>'Экономическая модель проекта'!H119</f>
        <v>0</v>
      </c>
      <c r="F58" s="292">
        <f>'Экономическая модель проекта'!I119</f>
        <v>0</v>
      </c>
      <c r="G58" s="292">
        <f>'Экономическая модель проекта'!J119</f>
        <v>0</v>
      </c>
      <c r="H58" s="292">
        <f>'Экономическая модель проекта'!K119</f>
        <v>0</v>
      </c>
      <c r="I58" s="292">
        <f>'Экономическая модель проекта'!L119</f>
        <v>0</v>
      </c>
      <c r="J58" s="292">
        <f>'Экономическая модель проекта'!M119</f>
        <v>0</v>
      </c>
      <c r="K58" s="292">
        <f>'Экономическая модель проекта'!N119</f>
        <v>0</v>
      </c>
    </row>
    <row r="59" spans="1:11" s="289" customFormat="1" x14ac:dyDescent="0.2">
      <c r="B59" s="288"/>
      <c r="C59" s="288"/>
      <c r="D59" s="288"/>
      <c r="E59" s="288"/>
      <c r="F59" s="288"/>
    </row>
    <row r="60" spans="1:11" s="289" customFormat="1" x14ac:dyDescent="0.2">
      <c r="B60" s="288"/>
      <c r="C60" s="288"/>
      <c r="D60" s="288"/>
      <c r="E60" s="288"/>
      <c r="F60" s="288"/>
    </row>
    <row r="61" spans="1:11" s="289" customFormat="1" x14ac:dyDescent="0.2">
      <c r="B61" s="288"/>
      <c r="C61" s="288"/>
      <c r="D61" s="288"/>
      <c r="E61" s="288"/>
      <c r="F61" s="288"/>
    </row>
    <row r="62" spans="1:11" s="289" customFormat="1" ht="47.25" x14ac:dyDescent="0.25">
      <c r="A62" s="290" t="s">
        <v>464</v>
      </c>
      <c r="B62" s="283">
        <v>2022</v>
      </c>
      <c r="C62" s="283">
        <v>2023</v>
      </c>
      <c r="D62" s="283">
        <v>2024</v>
      </c>
      <c r="E62" s="283">
        <v>2025</v>
      </c>
      <c r="F62" s="283">
        <v>2026</v>
      </c>
      <c r="G62" s="283">
        <v>2027</v>
      </c>
      <c r="H62" s="283">
        <v>2028</v>
      </c>
      <c r="I62" s="283">
        <v>2029</v>
      </c>
      <c r="J62" s="283">
        <v>2030</v>
      </c>
      <c r="K62" s="283">
        <v>2031</v>
      </c>
    </row>
    <row r="63" spans="1:11" ht="30" x14ac:dyDescent="0.2">
      <c r="A63" s="286" t="str">
        <f>'Экономическая модель проекта'!A135</f>
        <v>Общий объем инвестиций и расходов на проценты по проектному финансированию</v>
      </c>
      <c r="B63" s="295">
        <f>'Экономическая модель проекта'!E135</f>
        <v>1072.7852408704</v>
      </c>
      <c r="C63" s="295">
        <f>'Экономическая модель проекта'!F135</f>
        <v>307.67000572017798</v>
      </c>
      <c r="D63" s="295">
        <f>'Экономическая модель проекта'!G135</f>
        <v>641.4954566881928</v>
      </c>
      <c r="E63" s="295">
        <f>'Экономическая модель проекта'!H135</f>
        <v>1097.5620714002027</v>
      </c>
      <c r="F63" s="295">
        <f>'Экономическая модель проекта'!I135</f>
        <v>1110.0163348369579</v>
      </c>
      <c r="G63" s="295">
        <f>'Экономическая модель проекта'!J135</f>
        <v>1154.2600641020852</v>
      </c>
      <c r="H63" s="295">
        <f>'Экономическая модель проекта'!K135</f>
        <v>1165.0140051325268</v>
      </c>
      <c r="I63" s="295">
        <f>'Экономическая модель проекта'!L135</f>
        <v>882.65157911681956</v>
      </c>
      <c r="J63" s="295">
        <f>'Экономическая модель проекта'!M135</f>
        <v>573.88456185230814</v>
      </c>
      <c r="K63" s="295">
        <f>'Экономическая модель проекта'!N135</f>
        <v>892.45408182011909</v>
      </c>
    </row>
    <row r="64" spans="1:11" ht="30" x14ac:dyDescent="0.2">
      <c r="A64" s="286" t="s">
        <v>465</v>
      </c>
      <c r="B64" s="295">
        <f>'Экономическая модель проекта'!E124</f>
        <v>0</v>
      </c>
      <c r="C64" s="295">
        <f>'Экономическая модель проекта'!F124</f>
        <v>0</v>
      </c>
      <c r="D64" s="295">
        <f>'Экономическая модель проекта'!G124</f>
        <v>0</v>
      </c>
      <c r="E64" s="295">
        <f>'Экономическая модель проекта'!H124</f>
        <v>1717.0893818757122</v>
      </c>
      <c r="F64" s="295">
        <f>'Экономическая модель проекта'!I124</f>
        <v>1857.2303887368196</v>
      </c>
      <c r="G64" s="295">
        <f>'Экономическая модель проекта'!J124</f>
        <v>1931.5196042862924</v>
      </c>
      <c r="H64" s="295">
        <f>'Экономическая модель проекта'!K124</f>
        <v>2008.7803884577443</v>
      </c>
      <c r="I64" s="295">
        <f>'Экономическая модель проекта'!L124</f>
        <v>2089.1316039960539</v>
      </c>
      <c r="J64" s="295">
        <f>'Экономическая модель проекта'!M124</f>
        <v>2172.6968681558965</v>
      </c>
      <c r="K64" s="295">
        <f>'Экономическая модель проекта'!N124</f>
        <v>1198.9978707838591</v>
      </c>
    </row>
    <row r="65" spans="1:11" ht="30" x14ac:dyDescent="0.2">
      <c r="A65" s="286" t="str">
        <f>'[2]Модель А'!A102</f>
        <v>Финансирование за счет собственных средств застройщика</v>
      </c>
      <c r="B65" s="295">
        <f>'Экономическая модель проекта'!E130</f>
        <v>147.12174528</v>
      </c>
      <c r="C65" s="295">
        <f>'Экономическая модель проекта'!F130</f>
        <v>41.878857402928041</v>
      </c>
      <c r="D65" s="295">
        <f>'Экономическая модель проекта'!G130</f>
        <v>87.317893378610634</v>
      </c>
      <c r="E65" s="295">
        <f>'Экономическая модель проекта'!H130</f>
        <v>0</v>
      </c>
      <c r="F65" s="295">
        <f>'Экономическая модель проекта'!I130</f>
        <v>0</v>
      </c>
      <c r="G65" s="295">
        <f>'Экономическая модель проекта'!J130</f>
        <v>0</v>
      </c>
      <c r="H65" s="295">
        <f>'Экономическая модель проекта'!K130</f>
        <v>0</v>
      </c>
      <c r="I65" s="295">
        <f>'Экономическая модель проекта'!L130</f>
        <v>0</v>
      </c>
      <c r="J65" s="295">
        <f>'Экономическая модель проекта'!M130</f>
        <v>0</v>
      </c>
      <c r="K65" s="295">
        <f>'Экономическая модель проекта'!N130</f>
        <v>0</v>
      </c>
    </row>
    <row r="66" spans="1:11" s="289" customFormat="1" x14ac:dyDescent="0.2">
      <c r="B66" s="288"/>
      <c r="C66" s="288"/>
      <c r="D66" s="288"/>
      <c r="E66" s="288"/>
      <c r="F66" s="288"/>
    </row>
    <row r="67" spans="1:11" s="289" customFormat="1" x14ac:dyDescent="0.2">
      <c r="B67" s="288"/>
      <c r="C67" s="288"/>
      <c r="D67" s="288"/>
      <c r="E67" s="288"/>
      <c r="F67" s="288"/>
    </row>
    <row r="68" spans="1:11" s="289" customFormat="1" x14ac:dyDescent="0.2">
      <c r="B68" s="288"/>
      <c r="C68" s="288"/>
      <c r="D68" s="288"/>
      <c r="E68" s="288"/>
      <c r="F68" s="288"/>
    </row>
    <row r="69" spans="1:11" s="289" customFormat="1" x14ac:dyDescent="0.2">
      <c r="A69" s="287"/>
      <c r="B69" s="288"/>
      <c r="C69" s="288"/>
      <c r="D69" s="288"/>
      <c r="E69" s="288"/>
      <c r="F69" s="288"/>
    </row>
    <row r="70" spans="1:11" s="289" customFormat="1" x14ac:dyDescent="0.2">
      <c r="B70" s="288"/>
      <c r="C70" s="288"/>
      <c r="D70" s="288"/>
      <c r="E70" s="288"/>
      <c r="F70" s="288"/>
    </row>
    <row r="71" spans="1:11" s="289" customFormat="1" x14ac:dyDescent="0.2">
      <c r="B71" s="288"/>
      <c r="C71" s="288"/>
      <c r="D71" s="288"/>
      <c r="E71" s="288"/>
      <c r="F71" s="288"/>
    </row>
    <row r="72" spans="1:11" s="289" customFormat="1" x14ac:dyDescent="0.2">
      <c r="B72" s="288"/>
      <c r="C72" s="288"/>
      <c r="D72" s="288"/>
      <c r="E72" s="288"/>
      <c r="F72" s="288"/>
    </row>
    <row r="73" spans="1:11" s="289" customFormat="1" x14ac:dyDescent="0.2">
      <c r="A73" s="287"/>
      <c r="B73" s="288"/>
      <c r="C73" s="288"/>
      <c r="D73" s="288"/>
      <c r="E73" s="288"/>
      <c r="F73" s="288"/>
    </row>
    <row r="74" spans="1:11" s="289" customFormat="1" x14ac:dyDescent="0.2">
      <c r="B74" s="288"/>
      <c r="C74" s="288"/>
      <c r="D74" s="288"/>
      <c r="E74" s="288"/>
      <c r="F74" s="288"/>
    </row>
    <row r="75" spans="1:11" s="289" customFormat="1" x14ac:dyDescent="0.2">
      <c r="B75" s="288"/>
      <c r="C75" s="288"/>
      <c r="D75" s="288"/>
      <c r="E75" s="288"/>
      <c r="F75" s="288"/>
    </row>
    <row r="76" spans="1:11" s="289" customFormat="1" x14ac:dyDescent="0.2">
      <c r="B76" s="288"/>
      <c r="C76" s="288"/>
      <c r="D76" s="288"/>
      <c r="E76" s="288"/>
      <c r="F76" s="288"/>
    </row>
    <row r="77" spans="1:11" s="289" customFormat="1" x14ac:dyDescent="0.2">
      <c r="B77" s="288"/>
      <c r="C77" s="288"/>
      <c r="D77" s="288"/>
      <c r="E77" s="288"/>
      <c r="F77" s="288"/>
    </row>
    <row r="78" spans="1:11" s="289" customFormat="1" ht="15.75" x14ac:dyDescent="0.25">
      <c r="A78" s="290" t="s">
        <v>491</v>
      </c>
      <c r="B78" s="283">
        <v>2022</v>
      </c>
      <c r="C78" s="283">
        <v>2023</v>
      </c>
      <c r="D78" s="283">
        <v>2024</v>
      </c>
      <c r="E78" s="283">
        <v>2025</v>
      </c>
      <c r="F78" s="283">
        <v>2026</v>
      </c>
      <c r="G78" s="283">
        <v>2027</v>
      </c>
      <c r="H78" s="283">
        <v>2028</v>
      </c>
      <c r="I78" s="283">
        <v>2029</v>
      </c>
      <c r="J78" s="283">
        <v>2030</v>
      </c>
      <c r="K78" s="283">
        <v>2031</v>
      </c>
    </row>
    <row r="79" spans="1:11" ht="30" x14ac:dyDescent="0.2">
      <c r="A79" s="286" t="str">
        <f>'Экономическая модель проекта'!A144</f>
        <v xml:space="preserve">Дисконтированные инвестиционные и операционные затраты </v>
      </c>
      <c r="B79" s="295">
        <f>'Экономическая модель проекта'!E144</f>
        <v>1072.7852408704</v>
      </c>
      <c r="C79" s="295">
        <f>'Экономическая модель проекта'!F144</f>
        <v>279.7000052001618</v>
      </c>
      <c r="D79" s="295">
        <f>'Экономическая модель проекта'!G144</f>
        <v>530.16153445305179</v>
      </c>
      <c r="E79" s="295">
        <f>'Экономическая модель проекта'!H144</f>
        <v>824.61462915116635</v>
      </c>
      <c r="F79" s="295">
        <f>'Экономическая модель проекта'!I144</f>
        <v>758.15609236866169</v>
      </c>
      <c r="G79" s="295">
        <f>'Экономическая модель проекта'!J144</f>
        <v>716.70468615661173</v>
      </c>
      <c r="H79" s="295">
        <f>'Экономическая модель проекта'!K144</f>
        <v>657.62003404484869</v>
      </c>
      <c r="I79" s="295">
        <f>'Экономическая модель проекта'!L144</f>
        <v>452.93982339294865</v>
      </c>
      <c r="J79" s="295">
        <f>'Экономическая модель проекта'!M144</f>
        <v>267.72138349253083</v>
      </c>
      <c r="K79" s="295">
        <f>'Экономическая модель проекта'!N144</f>
        <v>378.48765060671508</v>
      </c>
    </row>
    <row r="80" spans="1:11" x14ac:dyDescent="0.2">
      <c r="A80" s="286" t="str">
        <f>'Экономическая модель проекта'!A145</f>
        <v xml:space="preserve">Денежный поток до налогообложения </v>
      </c>
      <c r="B80" s="295">
        <f>'Экономическая модель проекта'!E145</f>
        <v>-1072.7852408704</v>
      </c>
      <c r="C80" s="295">
        <f>'Экономическая модель проекта'!F145</f>
        <v>-307.67000572017798</v>
      </c>
      <c r="D80" s="295">
        <f>'Экономическая модель проекта'!G145</f>
        <v>-641.4954566881928</v>
      </c>
      <c r="E80" s="295">
        <f>'Экономическая модель проекта'!H145</f>
        <v>619.52731047550947</v>
      </c>
      <c r="F80" s="295">
        <f>'Экономическая модель проекта'!I145</f>
        <v>747.21405389986171</v>
      </c>
      <c r="G80" s="295">
        <f>'Экономическая модель проекта'!J145</f>
        <v>777.25954018420725</v>
      </c>
      <c r="H80" s="295">
        <f>'Экономическая модель проекта'!K145</f>
        <v>843.76638332521748</v>
      </c>
      <c r="I80" s="295">
        <f>'Экономическая модель проекта'!L145</f>
        <v>1206.4800248792344</v>
      </c>
      <c r="J80" s="295">
        <f>'Экономическая модель проекта'!M145</f>
        <v>1598.8123063035882</v>
      </c>
      <c r="K80" s="295">
        <f>'Экономическая модель проекта'!N145</f>
        <v>306.54378896373998</v>
      </c>
    </row>
    <row r="81" spans="1:11" x14ac:dyDescent="0.2">
      <c r="A81" s="286" t="str">
        <f>'Экономическая модель проекта'!A149</f>
        <v xml:space="preserve">Дисконтированный чистый денежный поток </v>
      </c>
      <c r="B81" s="295">
        <f>'Экономическая модель проекта'!E149</f>
        <v>-1072.7852408704</v>
      </c>
      <c r="C81" s="295">
        <f>'Экономическая модель проекта'!F149</f>
        <v>-279.7000052001618</v>
      </c>
      <c r="D81" s="295">
        <f>'Экономическая модель проекта'!G149</f>
        <v>-530.16153445305179</v>
      </c>
      <c r="E81" s="295">
        <f>'Экономическая модель проекта'!H149</f>
        <v>465.46003792299723</v>
      </c>
      <c r="F81" s="295">
        <f>'Экономическая модель проекта'!I149</f>
        <v>510.35725285148658</v>
      </c>
      <c r="G81" s="295">
        <f>'Экономическая модель проекта'!J149</f>
        <v>467.46030755974539</v>
      </c>
      <c r="H81" s="295">
        <f>'Экономическая модель проекта'!K149</f>
        <v>367.24846979811144</v>
      </c>
      <c r="I81" s="295">
        <f>'Экономическая модель проекта'!L149</f>
        <v>396.16869117748394</v>
      </c>
      <c r="J81" s="295">
        <f>'Экономическая модель проекта'!M149</f>
        <v>587.10173974490317</v>
      </c>
      <c r="K81" s="295">
        <f>'Экономическая модель проекта'!N149</f>
        <v>70.706773918388379</v>
      </c>
    </row>
    <row r="82" spans="1:11" s="289" customFormat="1" x14ac:dyDescent="0.2">
      <c r="B82" s="288"/>
      <c r="C82" s="288"/>
      <c r="D82" s="288"/>
      <c r="E82" s="288"/>
      <c r="F82" s="288"/>
    </row>
    <row r="83" spans="1:11" s="289" customFormat="1" x14ac:dyDescent="0.2">
      <c r="B83" s="288"/>
      <c r="C83" s="288"/>
      <c r="D83" s="288"/>
      <c r="E83" s="288"/>
      <c r="F83" s="288"/>
    </row>
    <row r="84" spans="1:11" s="289" customFormat="1" x14ac:dyDescent="0.2">
      <c r="B84" s="288"/>
      <c r="C84" s="288"/>
      <c r="D84" s="288"/>
      <c r="E84" s="288"/>
      <c r="F84" s="288"/>
    </row>
    <row r="85" spans="1:11" s="289" customFormat="1" x14ac:dyDescent="0.2">
      <c r="A85" s="287"/>
      <c r="B85" s="288"/>
      <c r="C85" s="288"/>
      <c r="D85" s="288"/>
      <c r="E85" s="288"/>
      <c r="F85" s="288"/>
    </row>
    <row r="86" spans="1:11" s="289" customFormat="1" x14ac:dyDescent="0.2">
      <c r="B86" s="288"/>
      <c r="C86" s="288"/>
      <c r="D86" s="288"/>
      <c r="E86" s="288"/>
      <c r="F86" s="288"/>
    </row>
    <row r="87" spans="1:11" s="289" customFormat="1" x14ac:dyDescent="0.2">
      <c r="B87" s="288"/>
      <c r="C87" s="288"/>
      <c r="D87" s="288"/>
      <c r="E87" s="288"/>
      <c r="F87" s="288"/>
    </row>
    <row r="88" spans="1:11" s="289" customFormat="1" x14ac:dyDescent="0.2">
      <c r="B88" s="288"/>
      <c r="C88" s="288"/>
      <c r="D88" s="288"/>
      <c r="E88" s="288"/>
      <c r="F88" s="288"/>
    </row>
    <row r="89" spans="1:11" s="289" customFormat="1" x14ac:dyDescent="0.2">
      <c r="B89" s="288"/>
      <c r="C89" s="288"/>
      <c r="D89" s="288"/>
      <c r="E89" s="288"/>
      <c r="F89" s="288"/>
    </row>
    <row r="90" spans="1:11" s="289" customFormat="1" x14ac:dyDescent="0.2">
      <c r="B90" s="288"/>
      <c r="C90" s="288"/>
      <c r="D90" s="288"/>
      <c r="E90" s="288"/>
      <c r="F90" s="288"/>
    </row>
    <row r="91" spans="1:11" s="289" customFormat="1" x14ac:dyDescent="0.2">
      <c r="B91" s="288"/>
      <c r="C91" s="288"/>
      <c r="D91" s="288"/>
      <c r="E91" s="288"/>
      <c r="F91" s="288"/>
    </row>
    <row r="92" spans="1:11" s="289" customFormat="1" x14ac:dyDescent="0.2">
      <c r="B92" s="288"/>
      <c r="C92" s="288"/>
      <c r="D92" s="288"/>
      <c r="E92" s="288"/>
      <c r="F92" s="288"/>
    </row>
    <row r="93" spans="1:11" s="289" customFormat="1" x14ac:dyDescent="0.2">
      <c r="B93" s="288"/>
      <c r="C93" s="288"/>
      <c r="D93" s="288"/>
      <c r="E93" s="288"/>
      <c r="F93" s="288"/>
    </row>
    <row r="94" spans="1:11" s="289" customFormat="1" x14ac:dyDescent="0.2">
      <c r="B94" s="288"/>
      <c r="C94" s="288"/>
      <c r="D94" s="288"/>
      <c r="E94" s="288"/>
      <c r="F94" s="288"/>
    </row>
    <row r="95" spans="1:11" s="289" customFormat="1" x14ac:dyDescent="0.2">
      <c r="B95" s="288"/>
      <c r="C95" s="288"/>
      <c r="D95" s="288"/>
      <c r="E95" s="288"/>
      <c r="F95" s="288"/>
    </row>
    <row r="96" spans="1:11" s="289" customFormat="1" x14ac:dyDescent="0.2">
      <c r="B96" s="288"/>
      <c r="C96" s="288"/>
      <c r="D96" s="288"/>
      <c r="E96" s="288"/>
      <c r="F96" s="288"/>
    </row>
    <row r="97" spans="1:11" s="289" customFormat="1" x14ac:dyDescent="0.2">
      <c r="B97" s="288"/>
      <c r="C97" s="288"/>
      <c r="D97" s="288"/>
      <c r="E97" s="288"/>
      <c r="F97" s="288"/>
    </row>
    <row r="98" spans="1:11" s="289" customFormat="1" x14ac:dyDescent="0.2">
      <c r="B98" s="288"/>
      <c r="C98" s="288"/>
      <c r="D98" s="288"/>
      <c r="E98" s="288"/>
      <c r="F98" s="288"/>
    </row>
    <row r="99" spans="1:11" s="289" customFormat="1" x14ac:dyDescent="0.2">
      <c r="B99" s="288"/>
      <c r="C99" s="288"/>
      <c r="D99" s="288"/>
      <c r="E99" s="288"/>
      <c r="F99" s="288"/>
    </row>
    <row r="100" spans="1:11" s="289" customFormat="1" x14ac:dyDescent="0.2">
      <c r="B100" s="288"/>
      <c r="C100" s="288"/>
      <c r="D100" s="288"/>
      <c r="E100" s="288"/>
      <c r="F100" s="288"/>
    </row>
    <row r="101" spans="1:11" s="289" customFormat="1" x14ac:dyDescent="0.2">
      <c r="B101" s="288"/>
      <c r="C101" s="288"/>
      <c r="D101" s="288"/>
      <c r="E101" s="288"/>
      <c r="F101" s="288"/>
    </row>
    <row r="102" spans="1:11" ht="31.5" x14ac:dyDescent="0.25">
      <c r="A102" s="290" t="s">
        <v>466</v>
      </c>
      <c r="B102" s="283">
        <v>2022</v>
      </c>
      <c r="C102" s="283">
        <v>2023</v>
      </c>
      <c r="D102" s="283">
        <v>2024</v>
      </c>
      <c r="E102" s="283">
        <v>2025</v>
      </c>
      <c r="F102" s="283">
        <v>2026</v>
      </c>
      <c r="G102" s="283">
        <v>2027</v>
      </c>
      <c r="H102" s="283">
        <v>2028</v>
      </c>
      <c r="I102" s="283">
        <v>2029</v>
      </c>
      <c r="J102" s="283">
        <v>2030</v>
      </c>
      <c r="K102" s="283">
        <v>2031</v>
      </c>
    </row>
    <row r="103" spans="1:11" x14ac:dyDescent="0.2">
      <c r="A103" s="286" t="str">
        <f>'[2]Модель А'!A95</f>
        <v>Доходы от продажи жилья</v>
      </c>
      <c r="B103" s="295">
        <f>'Экономическая модель проекта'!E121</f>
        <v>0</v>
      </c>
      <c r="C103" s="295">
        <f>'Экономическая модель проекта'!F121</f>
        <v>0</v>
      </c>
      <c r="D103" s="295">
        <f>'Экономическая модель проекта'!G121</f>
        <v>0</v>
      </c>
      <c r="E103" s="295">
        <f>'Экономическая модель проекта'!H121</f>
        <v>1237.1900033925122</v>
      </c>
      <c r="F103" s="295">
        <f>'Экономическая модель проекта'!I121</f>
        <v>1358.1350351142914</v>
      </c>
      <c r="G103" s="295">
        <f>'Экономическая модель проекта'!J121</f>
        <v>1412.4604365188632</v>
      </c>
      <c r="H103" s="295">
        <f>'Экономическая модель проекта'!K121</f>
        <v>1468.9588539796177</v>
      </c>
      <c r="I103" s="295">
        <f>'Экономическая модель проекта'!L121</f>
        <v>1527.7172081388026</v>
      </c>
      <c r="J103" s="295">
        <f>'Экономическая модель проекта'!M121</f>
        <v>1588.8258964643546</v>
      </c>
      <c r="K103" s="295">
        <f>'Экономическая модель проекта'!N121</f>
        <v>0</v>
      </c>
    </row>
    <row r="104" spans="1:11" x14ac:dyDescent="0.2">
      <c r="A104" s="286" t="str">
        <f>'[2]Модель А'!A97</f>
        <v>Доходы от продажи парковочных мест</v>
      </c>
      <c r="B104" s="295">
        <f>'Экономическая модель проекта'!E122</f>
        <v>0</v>
      </c>
      <c r="C104" s="295">
        <f>'Экономическая модель проекта'!F122</f>
        <v>0</v>
      </c>
      <c r="D104" s="295">
        <f>'Экономическая модель проекта'!G122</f>
        <v>0</v>
      </c>
      <c r="E104" s="295">
        <f>'Экономическая модель проекта'!H122</f>
        <v>252.47887441920008</v>
      </c>
      <c r="F104" s="295">
        <f>'Экономическая модель проекта'!I122</f>
        <v>262.57802939596809</v>
      </c>
      <c r="G104" s="295">
        <f>'Экономическая модель проекта'!J122</f>
        <v>273.0811505718068</v>
      </c>
      <c r="H104" s="295">
        <f>'Экономическая модель проекта'!K122</f>
        <v>284.00439659467912</v>
      </c>
      <c r="I104" s="295">
        <f>'Экономическая модель проекта'!L122</f>
        <v>295.36457245846628</v>
      </c>
      <c r="J104" s="295">
        <f>'Экономическая модель проекта'!M122</f>
        <v>307.17915535680493</v>
      </c>
      <c r="K104" s="295">
        <f>'Экономическая модель проекта'!N122</f>
        <v>0</v>
      </c>
    </row>
    <row r="105" spans="1:11" x14ac:dyDescent="0.2">
      <c r="A105" s="286" t="str">
        <f>'[2]Модель А'!A98</f>
        <v>Доходы от продажи коммерческих помещений</v>
      </c>
      <c r="B105" s="295">
        <f>'Экономическая модель проекта'!E123</f>
        <v>0</v>
      </c>
      <c r="C105" s="295">
        <f>'Экономическая модель проекта'!F123</f>
        <v>0</v>
      </c>
      <c r="D105" s="295">
        <f>'Экономическая модель проекта'!G123</f>
        <v>0</v>
      </c>
      <c r="E105" s="295">
        <f>'Экономическая модель проекта'!H123</f>
        <v>227.42050406400003</v>
      </c>
      <c r="F105" s="295">
        <f>'Экономическая модель проекта'!I123</f>
        <v>236.51732422656005</v>
      </c>
      <c r="G105" s="295">
        <f>'Экономическая модель проекта'!J123</f>
        <v>245.97801719562247</v>
      </c>
      <c r="H105" s="295">
        <f>'Экономическая модель проекта'!K123</f>
        <v>255.81713788344737</v>
      </c>
      <c r="I105" s="295">
        <f>'Экономическая модель проекта'!L123</f>
        <v>266.04982339878529</v>
      </c>
      <c r="J105" s="295">
        <f>'Экономическая модель проекта'!M123</f>
        <v>276.69181633473676</v>
      </c>
      <c r="K105" s="295">
        <f>'Экономическая модель проекта'!N123</f>
        <v>1198.9978707838591</v>
      </c>
    </row>
    <row r="106" spans="1:11" s="289" customFormat="1" x14ac:dyDescent="0.2">
      <c r="B106" s="288"/>
      <c r="C106" s="288"/>
      <c r="D106" s="288"/>
      <c r="E106" s="288"/>
      <c r="F106" s="288"/>
      <c r="H106" s="284"/>
      <c r="I106" s="284"/>
      <c r="J106" s="284"/>
      <c r="K106" s="284"/>
    </row>
    <row r="107" spans="1:11" s="289" customFormat="1" x14ac:dyDescent="0.2">
      <c r="B107" s="288"/>
      <c r="C107" s="288"/>
      <c r="D107" s="288"/>
      <c r="E107" s="288"/>
      <c r="F107" s="288"/>
    </row>
    <row r="108" spans="1:11" s="289" customFormat="1" x14ac:dyDescent="0.2">
      <c r="B108" s="288"/>
      <c r="C108" s="288"/>
      <c r="D108" s="288"/>
      <c r="E108" s="288"/>
      <c r="F108" s="288"/>
    </row>
    <row r="109" spans="1:11" s="289" customFormat="1" x14ac:dyDescent="0.2">
      <c r="B109" s="288"/>
      <c r="C109" s="288"/>
      <c r="D109" s="288"/>
      <c r="E109" s="288"/>
      <c r="F109" s="288"/>
    </row>
    <row r="110" spans="1:11" s="289" customFormat="1" x14ac:dyDescent="0.2">
      <c r="B110" s="288"/>
      <c r="C110" s="288"/>
      <c r="D110" s="288"/>
      <c r="E110" s="288"/>
      <c r="F110" s="288"/>
    </row>
    <row r="111" spans="1:11" s="289" customFormat="1" x14ac:dyDescent="0.2">
      <c r="B111" s="288"/>
      <c r="C111" s="288"/>
      <c r="D111" s="288"/>
      <c r="E111" s="288"/>
      <c r="F111" s="288"/>
    </row>
    <row r="112" spans="1:11" s="289" customFormat="1" x14ac:dyDescent="0.2">
      <c r="B112" s="288"/>
      <c r="C112" s="288"/>
      <c r="D112" s="288"/>
      <c r="E112" s="288"/>
      <c r="F112" s="288"/>
    </row>
    <row r="113" spans="1:6" s="289" customFormat="1" x14ac:dyDescent="0.2">
      <c r="B113" s="288"/>
      <c r="C113" s="288"/>
      <c r="D113" s="288"/>
      <c r="E113" s="288"/>
      <c r="F113" s="288"/>
    </row>
    <row r="114" spans="1:6" s="289" customFormat="1" x14ac:dyDescent="0.2">
      <c r="B114" s="288"/>
      <c r="C114" s="288"/>
      <c r="D114" s="288"/>
      <c r="E114" s="288"/>
      <c r="F114" s="288"/>
    </row>
    <row r="115" spans="1:6" s="289" customFormat="1" x14ac:dyDescent="0.2">
      <c r="B115" s="288"/>
      <c r="C115" s="288"/>
      <c r="D115" s="288"/>
      <c r="E115" s="288"/>
      <c r="F115" s="288"/>
    </row>
    <row r="116" spans="1:6" s="289" customFormat="1" x14ac:dyDescent="0.2">
      <c r="B116" s="288"/>
      <c r="C116" s="288"/>
      <c r="D116" s="288"/>
      <c r="E116" s="288"/>
      <c r="F116" s="288"/>
    </row>
    <row r="117" spans="1:6" s="289" customFormat="1" x14ac:dyDescent="0.2">
      <c r="B117" s="288"/>
      <c r="C117" s="288"/>
      <c r="D117" s="288"/>
      <c r="E117" s="288"/>
      <c r="F117" s="288"/>
    </row>
    <row r="118" spans="1:6" s="289" customFormat="1" x14ac:dyDescent="0.2">
      <c r="B118" s="288"/>
      <c r="C118" s="288"/>
      <c r="D118" s="288"/>
      <c r="E118" s="288"/>
      <c r="F118" s="288"/>
    </row>
    <row r="119" spans="1:6" s="289" customFormat="1" x14ac:dyDescent="0.2">
      <c r="B119" s="288"/>
      <c r="C119" s="288"/>
      <c r="D119" s="288"/>
      <c r="E119" s="288"/>
      <c r="F119" s="288"/>
    </row>
    <row r="120" spans="1:6" ht="42" customHeight="1" x14ac:dyDescent="0.2">
      <c r="A120" s="436" t="s">
        <v>605</v>
      </c>
      <c r="B120" s="437"/>
    </row>
    <row r="121" spans="1:6" ht="42" customHeight="1" x14ac:dyDescent="0.2">
      <c r="A121" s="306" t="str">
        <f>'Экономическая модель проекта'!A177</f>
        <v>Прирост капитализации территории (в ценах базового года)</v>
      </c>
      <c r="B121" s="301">
        <f>'Экономическая модель проекта'!B177</f>
        <v>9390.6479999999992</v>
      </c>
    </row>
    <row r="122" spans="1:6" ht="30" x14ac:dyDescent="0.2">
      <c r="A122" s="307" t="str">
        <f>'Экономическая модель проекта'!A178</f>
        <v>Стоимость зданий, инфраструктуры, благоустройства</v>
      </c>
      <c r="B122" s="302">
        <f>'Экономическая модель проекта'!B178</f>
        <v>5627.6279999999997</v>
      </c>
    </row>
    <row r="123" spans="1:6" ht="45" x14ac:dyDescent="0.2">
      <c r="A123" s="307" t="str">
        <f>'Экономическая модель проекта'!A179</f>
        <v>Жители территории, переселяемые из сносимых домов, и собственники нежилых помещений (новое жилье+компенсации)</v>
      </c>
      <c r="B123" s="302">
        <f>'Экономическая модель проекта'!B179</f>
        <v>486.82756923076931</v>
      </c>
    </row>
    <row r="124" spans="1:6" ht="45" x14ac:dyDescent="0.2">
      <c r="A124" s="307" t="str">
        <f>'Экономическая модель проекта'!A180</f>
        <v>Застройщик (максимальная чистая прибыль от реализации проекта с учетом упущенной выгоды)</v>
      </c>
      <c r="B124" s="302">
        <f>'Экономическая модель проекта'!B180</f>
        <v>2362.9499624591203</v>
      </c>
    </row>
    <row r="125" spans="1:6" ht="30" x14ac:dyDescent="0.2">
      <c r="A125" s="307" t="str">
        <f>'Экономическая модель проекта'!A181</f>
        <v>Бюджетные доходы по налогу на прибыль и НДС</v>
      </c>
      <c r="B125" s="302">
        <f>'Экономическая модель проекта'!B181</f>
        <v>913.24246831010976</v>
      </c>
    </row>
    <row r="126" spans="1:6" s="289" customFormat="1" x14ac:dyDescent="0.2">
      <c r="B126" s="288"/>
      <c r="C126" s="288"/>
      <c r="D126" s="288"/>
      <c r="E126" s="288"/>
      <c r="F126" s="288"/>
    </row>
    <row r="127" spans="1:6" s="289" customFormat="1" x14ac:dyDescent="0.2">
      <c r="B127" s="288"/>
      <c r="C127" s="288"/>
      <c r="D127" s="288"/>
      <c r="E127" s="288"/>
      <c r="F127" s="288"/>
    </row>
    <row r="128" spans="1:6" s="289" customFormat="1" x14ac:dyDescent="0.2">
      <c r="B128" s="288"/>
      <c r="C128" s="288"/>
      <c r="D128" s="288"/>
      <c r="E128" s="288"/>
      <c r="F128" s="288"/>
    </row>
    <row r="129" spans="1:11" s="289" customFormat="1" x14ac:dyDescent="0.2">
      <c r="B129" s="288"/>
      <c r="C129" s="288"/>
      <c r="D129" s="288"/>
      <c r="E129" s="288"/>
      <c r="F129" s="288"/>
    </row>
    <row r="130" spans="1:11" s="289" customFormat="1" x14ac:dyDescent="0.2">
      <c r="B130" s="288"/>
      <c r="C130" s="288"/>
      <c r="D130" s="288"/>
      <c r="E130" s="288"/>
      <c r="F130" s="288"/>
    </row>
    <row r="131" spans="1:11" s="289" customFormat="1" ht="47.25" x14ac:dyDescent="0.25">
      <c r="A131" s="303" t="str">
        <f>'Экономическая модель проекта'!A165</f>
        <v xml:space="preserve">Ежегодный прирост капитализации в ценах базового года (год начала проекта минус один), в т. ч. по компонентам: </v>
      </c>
      <c r="B131" s="283">
        <v>2022</v>
      </c>
      <c r="C131" s="283">
        <v>2023</v>
      </c>
      <c r="D131" s="283">
        <v>2024</v>
      </c>
      <c r="E131" s="283">
        <v>2025</v>
      </c>
      <c r="F131" s="283">
        <v>2026</v>
      </c>
      <c r="G131" s="283">
        <v>2027</v>
      </c>
      <c r="H131" s="283">
        <v>2028</v>
      </c>
      <c r="I131" s="283">
        <v>2029</v>
      </c>
      <c r="J131" s="283">
        <v>2030</v>
      </c>
      <c r="K131" s="283">
        <v>2031</v>
      </c>
    </row>
    <row r="132" spans="1:11" s="289" customFormat="1" ht="18" x14ac:dyDescent="0.25">
      <c r="A132" s="158" t="str">
        <f>'Экономическая модель проекта'!A166</f>
        <v>Стоимость зданий, инфраструктуры, благоустройства</v>
      </c>
      <c r="B132" s="295">
        <f>'Экономическая модель проекта'!E166</f>
        <v>0</v>
      </c>
      <c r="C132" s="295">
        <f>'Экономическая модель проекта'!F166</f>
        <v>14.807432418803575</v>
      </c>
      <c r="D132" s="295">
        <f>'Экономическая модель проекта'!G166</f>
        <v>30.799459431111437</v>
      </c>
      <c r="E132" s="295">
        <f>'Экономическая модель проекта'!H166</f>
        <v>841.23515671253392</v>
      </c>
      <c r="F132" s="295">
        <f>'Экономическая модель проекта'!I166</f>
        <v>841.23515671253381</v>
      </c>
      <c r="G132" s="295">
        <f>'Экономическая модель проекта'!J166</f>
        <v>843.15704298103526</v>
      </c>
      <c r="H132" s="295">
        <f>'Экономическая модель проекта'!K166</f>
        <v>843.15704298103526</v>
      </c>
      <c r="I132" s="295">
        <f>'Экономическая модель проекта'!L166</f>
        <v>827.83320313351783</v>
      </c>
      <c r="J132" s="295">
        <f>'Экономическая модель проекта'!M166</f>
        <v>811.20350562942929</v>
      </c>
      <c r="K132" s="295">
        <f>'Экономическая модель проекта'!N166</f>
        <v>574.20000000000005</v>
      </c>
    </row>
    <row r="133" spans="1:11" s="289" customFormat="1" ht="18" x14ac:dyDescent="0.25">
      <c r="A133" s="158" t="str">
        <f>'Экономическая модель проекта'!A167</f>
        <v>Расходы на выкуп жилья и нежилых помещений</v>
      </c>
      <c r="B133" s="295">
        <f>'Экономическая модель проекта'!E167</f>
        <v>402.75076923076927</v>
      </c>
      <c r="C133" s="295">
        <f>'Экономическая модель проекта'!F167</f>
        <v>0</v>
      </c>
      <c r="D133" s="295">
        <f>'Экономическая модель проекта'!G167</f>
        <v>0</v>
      </c>
      <c r="E133" s="295">
        <f>'Экономическая модель проекта'!H167</f>
        <v>0</v>
      </c>
      <c r="F133" s="295">
        <f>'Экономическая модель проекта'!I167</f>
        <v>0</v>
      </c>
      <c r="G133" s="295">
        <f>'Экономическая модель проекта'!J167</f>
        <v>0</v>
      </c>
      <c r="H133" s="295">
        <f>'Экономическая модель проекта'!K167</f>
        <v>0</v>
      </c>
      <c r="I133" s="295">
        <f>'Экономическая модель проекта'!L167</f>
        <v>0</v>
      </c>
      <c r="J133" s="295">
        <f>'Экономическая модель проекта'!M167</f>
        <v>0</v>
      </c>
      <c r="K133" s="295">
        <f>'Экономическая модель проекта'!N167</f>
        <v>0</v>
      </c>
    </row>
    <row r="134" spans="1:11" s="289" customFormat="1" ht="18" x14ac:dyDescent="0.25">
      <c r="A134" s="158" t="str">
        <f>'Экономическая модель проекта'!A168</f>
        <v>Расходы на предоставление жилья переселенцам (по эквиваленту рыночной цены)</v>
      </c>
      <c r="B134" s="295">
        <f>'Экономическая модель проекта'!E168</f>
        <v>603.74400000000003</v>
      </c>
      <c r="C134" s="295">
        <f>'Экономическая модель проекта'!F168</f>
        <v>0</v>
      </c>
      <c r="D134" s="295">
        <f>'Экономическая модель проекта'!G168</f>
        <v>0</v>
      </c>
      <c r="E134" s="295">
        <f>'Экономическая модель проекта'!H168</f>
        <v>58.732799999999983</v>
      </c>
      <c r="F134" s="295">
        <f>'Экономическая модель проекта'!I168</f>
        <v>0</v>
      </c>
      <c r="G134" s="295">
        <f>'Экономическая модель проекта'!J168</f>
        <v>0</v>
      </c>
      <c r="H134" s="295">
        <f>'Экономическая модель проекта'!K168</f>
        <v>0</v>
      </c>
      <c r="I134" s="295">
        <f>'Экономическая модель проекта'!L168</f>
        <v>0</v>
      </c>
      <c r="J134" s="295">
        <f>'Экономическая модель проекта'!M168</f>
        <v>0</v>
      </c>
      <c r="K134" s="295">
        <f>'Экономическая модель проекта'!N168</f>
        <v>0</v>
      </c>
    </row>
    <row r="135" spans="1:11" s="289" customFormat="1" ht="18" x14ac:dyDescent="0.25">
      <c r="A135" s="158" t="str">
        <f>'Экономическая модель проекта'!A169</f>
        <v>Налоги (НДС, налог на прибыль)</v>
      </c>
      <c r="B135" s="295">
        <f>'Экономическая модель проекта'!E169</f>
        <v>96.153846153846146</v>
      </c>
      <c r="C135" s="295">
        <f>'Экономическая модель проекта'!F169</f>
        <v>0</v>
      </c>
      <c r="D135" s="295">
        <f>'Экономическая модель проекта'!G169</f>
        <v>0</v>
      </c>
      <c r="E135" s="295">
        <f>'Экономическая модель проекта'!H169</f>
        <v>0</v>
      </c>
      <c r="F135" s="295">
        <f>'Экономическая модель проекта'!I169</f>
        <v>0</v>
      </c>
      <c r="G135" s="295">
        <f>'Экономическая модель проекта'!J169</f>
        <v>19.291609388102028</v>
      </c>
      <c r="H135" s="295">
        <f>'Экономическая модель проекта'!K169</f>
        <v>146.78824538561918</v>
      </c>
      <c r="I135" s="295">
        <f>'Экономическая модель проекта'!L169</f>
        <v>317.45517098197968</v>
      </c>
      <c r="J135" s="295">
        <f>'Экономическая модель проекта'!M169</f>
        <v>239.09559640056267</v>
      </c>
      <c r="K135" s="295">
        <f>'Экономическая модель проекта'!N169</f>
        <v>94.457999999999984</v>
      </c>
    </row>
    <row r="136" spans="1:11" s="289" customFormat="1" ht="18" x14ac:dyDescent="0.25">
      <c r="A136" s="158" t="str">
        <f>'Экономическая модель проекта'!A170</f>
        <v>Чистая максимальная прибыль от реализации проекта с учетом упущенной выгоды</v>
      </c>
      <c r="B136" s="295">
        <f>'Экономическая модель проекта'!E170</f>
        <v>-1102.6486153846154</v>
      </c>
      <c r="C136" s="295">
        <f>'Экономическая модель проекта'!F170</f>
        <v>-14.807432418803575</v>
      </c>
      <c r="D136" s="295">
        <f>'Экономическая модель проекта'!G170</f>
        <v>-30.799459431111437</v>
      </c>
      <c r="E136" s="295">
        <f>'Экономическая модель проекта'!H170</f>
        <v>626.54004328746589</v>
      </c>
      <c r="F136" s="295">
        <f>'Экономическая модель проекта'!I170</f>
        <v>685.272843287466</v>
      </c>
      <c r="G136" s="295">
        <f>'Экономическая модель проекта'!J170</f>
        <v>664.05934763086248</v>
      </c>
      <c r="H136" s="295">
        <f>'Экономическая модель проекта'!K170</f>
        <v>536.56271163334532</v>
      </c>
      <c r="I136" s="295">
        <f>'Экономическая модель проекта'!L170</f>
        <v>381.21962588450242</v>
      </c>
      <c r="J136" s="295">
        <f>'Экономическая модель проекта'!M170</f>
        <v>476.20889797000814</v>
      </c>
      <c r="K136" s="295">
        <f>'Экономическая модель проекта'!N170</f>
        <v>141.34199999999998</v>
      </c>
    </row>
    <row r="137" spans="1:11" s="289" customFormat="1" x14ac:dyDescent="0.2">
      <c r="B137" s="288"/>
      <c r="C137" s="288"/>
      <c r="D137" s="288"/>
      <c r="E137" s="288"/>
      <c r="F137" s="288"/>
    </row>
    <row r="138" spans="1:11" s="289" customFormat="1" x14ac:dyDescent="0.2">
      <c r="B138" s="288"/>
      <c r="C138" s="288"/>
      <c r="D138" s="288"/>
      <c r="E138" s="288"/>
      <c r="F138" s="288"/>
    </row>
    <row r="139" spans="1:11" s="289" customFormat="1" x14ac:dyDescent="0.2">
      <c r="B139" s="288"/>
      <c r="C139" s="288"/>
      <c r="D139" s="288"/>
      <c r="E139" s="288"/>
      <c r="F139" s="288"/>
    </row>
    <row r="140" spans="1:11" s="289" customFormat="1" x14ac:dyDescent="0.2">
      <c r="B140" s="288"/>
      <c r="C140" s="288"/>
      <c r="D140" s="288"/>
      <c r="E140" s="288"/>
      <c r="F140" s="288"/>
    </row>
    <row r="141" spans="1:11" s="289" customFormat="1" x14ac:dyDescent="0.2">
      <c r="B141" s="288"/>
      <c r="C141" s="288"/>
      <c r="D141" s="288"/>
      <c r="E141" s="288"/>
      <c r="F141" s="288"/>
    </row>
    <row r="142" spans="1:11" s="289" customFormat="1" x14ac:dyDescent="0.2">
      <c r="B142" s="288"/>
      <c r="C142" s="288"/>
      <c r="D142" s="288"/>
      <c r="E142" s="288"/>
      <c r="F142" s="288"/>
    </row>
    <row r="143" spans="1:11" s="289" customFormat="1" x14ac:dyDescent="0.2">
      <c r="B143" s="288"/>
      <c r="C143" s="288"/>
      <c r="D143" s="288"/>
      <c r="E143" s="288"/>
      <c r="F143" s="288"/>
    </row>
    <row r="144" spans="1:11" s="289" customFormat="1" x14ac:dyDescent="0.2">
      <c r="B144" s="288"/>
      <c r="C144" s="288"/>
      <c r="D144" s="288"/>
      <c r="E144" s="288"/>
      <c r="F144" s="288"/>
    </row>
    <row r="145" spans="1:11" s="289" customFormat="1" x14ac:dyDescent="0.2">
      <c r="B145" s="288"/>
      <c r="C145" s="288"/>
      <c r="D145" s="288"/>
      <c r="E145" s="288"/>
      <c r="F145" s="288"/>
    </row>
    <row r="146" spans="1:11" s="289" customFormat="1" x14ac:dyDescent="0.2">
      <c r="B146" s="288"/>
      <c r="C146" s="288"/>
      <c r="D146" s="288"/>
      <c r="E146" s="288"/>
      <c r="F146" s="288"/>
    </row>
    <row r="147" spans="1:11" s="289" customFormat="1" x14ac:dyDescent="0.2">
      <c r="B147" s="288"/>
      <c r="C147" s="288"/>
      <c r="D147" s="288"/>
      <c r="E147" s="288"/>
      <c r="F147" s="288"/>
    </row>
    <row r="148" spans="1:11" s="289" customFormat="1" x14ac:dyDescent="0.2">
      <c r="B148" s="288"/>
      <c r="C148" s="288"/>
      <c r="D148" s="288"/>
      <c r="E148" s="288"/>
      <c r="F148" s="288"/>
    </row>
    <row r="149" spans="1:11" s="289" customFormat="1" ht="31.5" x14ac:dyDescent="0.25">
      <c r="A149" s="304" t="s">
        <v>606</v>
      </c>
      <c r="B149" s="288"/>
      <c r="C149" s="288"/>
      <c r="D149" s="288"/>
      <c r="E149" s="288"/>
      <c r="F149" s="288"/>
    </row>
    <row r="150" spans="1:11" s="289" customFormat="1" x14ac:dyDescent="0.2">
      <c r="A150" s="291">
        <v>2021</v>
      </c>
      <c r="B150" s="283">
        <v>2022</v>
      </c>
      <c r="C150" s="283">
        <v>2023</v>
      </c>
      <c r="D150" s="283">
        <v>2024</v>
      </c>
      <c r="E150" s="283">
        <v>2025</v>
      </c>
      <c r="F150" s="283">
        <v>2026</v>
      </c>
      <c r="G150" s="283">
        <v>2027</v>
      </c>
      <c r="H150" s="283">
        <v>2028</v>
      </c>
      <c r="I150" s="283">
        <v>2029</v>
      </c>
      <c r="J150" s="283">
        <v>2030</v>
      </c>
      <c r="K150" s="283">
        <v>2031</v>
      </c>
    </row>
    <row r="151" spans="1:11" x14ac:dyDescent="0.2">
      <c r="A151" s="305">
        <f>'Экономическая модель проекта'!D160</f>
        <v>578.40000000000009</v>
      </c>
      <c r="B151" s="305">
        <f>'Экономическая модель проекта'!E160</f>
        <v>63.715999999999973</v>
      </c>
      <c r="C151" s="305">
        <f>'Экономическая модель проекта'!F160</f>
        <v>63.715999999999973</v>
      </c>
      <c r="D151" s="305">
        <f>'Экономическая модель проекта'!G160</f>
        <v>63.715999999999973</v>
      </c>
      <c r="E151" s="305">
        <f>'Экономическая модель проекта'!H160</f>
        <v>1590.2240000000002</v>
      </c>
      <c r="F151" s="305">
        <f>'Экономическая модель проекта'!I160</f>
        <v>3053.0160000000005</v>
      </c>
      <c r="G151" s="305">
        <f>'Экономическая модель проекта'!J160</f>
        <v>4579.5240000000003</v>
      </c>
      <c r="H151" s="305">
        <f>'Экономическая модель проекта'!K160</f>
        <v>6106.0320000000011</v>
      </c>
      <c r="I151" s="305">
        <f>'Экономическая модель проекта'!L160</f>
        <v>7632.5400000000009</v>
      </c>
      <c r="J151" s="305">
        <f>'Экономическая модель проекта'!M160</f>
        <v>9159.0480000000007</v>
      </c>
      <c r="K151" s="305">
        <f>'Экономическая модель проекта'!N160</f>
        <v>9969.0480000000007</v>
      </c>
    </row>
    <row r="152" spans="1:11" s="289" customFormat="1" x14ac:dyDescent="0.2">
      <c r="B152" s="288"/>
      <c r="C152" s="288"/>
      <c r="D152" s="288"/>
      <c r="E152" s="288"/>
      <c r="F152" s="288"/>
    </row>
    <row r="153" spans="1:11" s="289" customFormat="1" x14ac:dyDescent="0.2">
      <c r="B153" s="288"/>
      <c r="C153" s="288"/>
      <c r="D153" s="288"/>
      <c r="E153" s="288"/>
      <c r="F153" s="288"/>
    </row>
    <row r="154" spans="1:11" s="289" customFormat="1" x14ac:dyDescent="0.2">
      <c r="B154" s="288"/>
      <c r="C154" s="288"/>
      <c r="D154" s="288"/>
      <c r="E154" s="288"/>
      <c r="F154" s="288"/>
    </row>
    <row r="155" spans="1:11" s="289" customFormat="1" x14ac:dyDescent="0.2">
      <c r="B155" s="288"/>
      <c r="C155" s="288"/>
      <c r="D155" s="288"/>
      <c r="E155" s="288"/>
      <c r="F155" s="288"/>
    </row>
    <row r="156" spans="1:11" s="289" customFormat="1" x14ac:dyDescent="0.2">
      <c r="B156" s="288"/>
      <c r="C156" s="288"/>
      <c r="D156" s="288"/>
      <c r="E156" s="288"/>
      <c r="F156" s="288"/>
    </row>
    <row r="157" spans="1:11" s="289" customFormat="1" x14ac:dyDescent="0.2">
      <c r="B157" s="288"/>
      <c r="C157" s="288"/>
      <c r="D157" s="288"/>
      <c r="E157" s="288"/>
      <c r="F157" s="288"/>
    </row>
    <row r="158" spans="1:11" s="289" customFormat="1" x14ac:dyDescent="0.2">
      <c r="B158" s="288"/>
      <c r="C158" s="288"/>
      <c r="D158" s="288"/>
      <c r="E158" s="288"/>
      <c r="F158" s="288"/>
    </row>
    <row r="159" spans="1:11" s="289" customFormat="1" x14ac:dyDescent="0.2">
      <c r="B159" s="288"/>
      <c r="C159" s="288"/>
      <c r="D159" s="288"/>
      <c r="E159" s="288"/>
      <c r="F159" s="288"/>
    </row>
    <row r="160" spans="1:11" s="289" customFormat="1" x14ac:dyDescent="0.2">
      <c r="B160" s="288"/>
      <c r="C160" s="288"/>
      <c r="D160" s="288"/>
      <c r="E160" s="288"/>
      <c r="F160" s="288"/>
    </row>
    <row r="161" spans="1:11" s="289" customFormat="1" x14ac:dyDescent="0.2">
      <c r="B161" s="288"/>
      <c r="C161" s="288"/>
      <c r="D161" s="288"/>
      <c r="E161" s="288"/>
      <c r="F161" s="288"/>
    </row>
    <row r="163" spans="1:11" s="289" customFormat="1" x14ac:dyDescent="0.2">
      <c r="B163" s="288"/>
      <c r="C163" s="288"/>
      <c r="D163" s="288"/>
      <c r="E163" s="288"/>
      <c r="F163" s="288"/>
    </row>
    <row r="164" spans="1:11" s="289" customFormat="1" x14ac:dyDescent="0.2">
      <c r="B164" s="288"/>
      <c r="C164" s="288"/>
      <c r="D164" s="288"/>
      <c r="E164" s="288"/>
      <c r="F164" s="288"/>
    </row>
    <row r="165" spans="1:11" s="289" customFormat="1" x14ac:dyDescent="0.2">
      <c r="B165" s="288"/>
      <c r="C165" s="288"/>
      <c r="D165" s="288"/>
      <c r="E165" s="288"/>
      <c r="F165" s="288"/>
    </row>
    <row r="166" spans="1:11" s="289" customFormat="1" x14ac:dyDescent="0.2">
      <c r="B166" s="288"/>
      <c r="C166" s="288"/>
      <c r="D166" s="288"/>
      <c r="E166" s="288"/>
      <c r="F166" s="288"/>
    </row>
    <row r="167" spans="1:11" ht="31.5" x14ac:dyDescent="0.25">
      <c r="A167" s="290" t="s">
        <v>492</v>
      </c>
      <c r="B167" s="283">
        <v>2022</v>
      </c>
      <c r="C167" s="283">
        <v>2023</v>
      </c>
      <c r="D167" s="283">
        <v>2024</v>
      </c>
      <c r="E167" s="283">
        <v>2025</v>
      </c>
      <c r="F167" s="283">
        <v>2026</v>
      </c>
      <c r="G167" s="283">
        <v>2027</v>
      </c>
      <c r="H167" s="283">
        <v>2028</v>
      </c>
      <c r="I167" s="283">
        <v>2029</v>
      </c>
      <c r="J167" s="283">
        <v>2030</v>
      </c>
      <c r="K167" s="283">
        <v>2031</v>
      </c>
    </row>
    <row r="168" spans="1:11" x14ac:dyDescent="0.2">
      <c r="A168" s="286" t="str">
        <f>'Экономическая модель проекта'!A192</f>
        <v xml:space="preserve">Чистые доходы местного бюджета </v>
      </c>
      <c r="B168" s="426">
        <f>'Экономическая модель проекта'!E192</f>
        <v>0</v>
      </c>
      <c r="C168" s="426">
        <f>'Экономическая модель проекта'!F192</f>
        <v>0</v>
      </c>
      <c r="D168" s="426">
        <f>'Экономическая модель проекта'!G192</f>
        <v>0</v>
      </c>
      <c r="E168" s="426">
        <f>'Экономическая модель проекта'!H192</f>
        <v>-2.2595490526003204</v>
      </c>
      <c r="F168" s="426">
        <f>'Экономическая модель проекта'!I192</f>
        <v>-4.5572441044156431</v>
      </c>
      <c r="G168" s="426">
        <f>'Экономическая модель проекта'!J192</f>
        <v>-6.8925215568990046</v>
      </c>
      <c r="H168" s="426">
        <f>'Экономическая модель проекта'!K192</f>
        <v>-9.264711690020949</v>
      </c>
      <c r="I168" s="426">
        <f>'Экономическая модель проекта'!L192</f>
        <v>-11.673031074308586</v>
      </c>
      <c r="J168" s="426">
        <f>'Экономическая модель проекта'!M192</f>
        <v>-14.116574545642177</v>
      </c>
      <c r="K168" s="426">
        <f>'Экономическая модель проекта'!N192</f>
        <v>-11.93675952431494</v>
      </c>
    </row>
    <row r="169" spans="1:11" ht="13.15" customHeight="1" x14ac:dyDescent="0.2">
      <c r="A169" s="286" t="str">
        <f>'Экономическая модель проекта'!A193</f>
        <v xml:space="preserve">Чистые доходы регионального бюджета </v>
      </c>
      <c r="B169" s="426">
        <f>'Экономическая модель проекта'!E193</f>
        <v>0</v>
      </c>
      <c r="C169" s="426">
        <f>'Экономическая модель проекта'!F193</f>
        <v>0</v>
      </c>
      <c r="D169" s="426">
        <f>'Экономическая модель проекта'!G193</f>
        <v>0</v>
      </c>
      <c r="E169" s="426">
        <f>'Экономическая модель проекта'!H193</f>
        <v>7.2976712859648014</v>
      </c>
      <c r="F169" s="426">
        <f>'Экономическая модель проекта'!I193</f>
        <v>15.179156274806786</v>
      </c>
      <c r="G169" s="426">
        <f>'Экономическая модель проекта'!J193</f>
        <v>23.67948378869859</v>
      </c>
      <c r="H169" s="426">
        <f>'Экономическая модель проекта'!K193</f>
        <v>32.835550853662049</v>
      </c>
      <c r="I169" s="426">
        <f>'Экономическая модель проекта'!L193</f>
        <v>42.686216109760672</v>
      </c>
      <c r="J169" s="426">
        <f>'Экономическая модель проекта'!M193</f>
        <v>53.272397704981316</v>
      </c>
      <c r="K169" s="426">
        <f>'Экономическая модель проекта'!N193</f>
        <v>79.383251028857757</v>
      </c>
    </row>
    <row r="170" spans="1:11" s="289" customFormat="1" x14ac:dyDescent="0.2">
      <c r="A170" s="285" t="s">
        <v>607</v>
      </c>
      <c r="B170" s="292">
        <f>SUM(B168:B169)</f>
        <v>0</v>
      </c>
      <c r="C170" s="292">
        <f t="shared" ref="C170:K170" si="2">SUM(C168:C169)</f>
        <v>0</v>
      </c>
      <c r="D170" s="292">
        <f t="shared" si="2"/>
        <v>0</v>
      </c>
      <c r="E170" s="292">
        <f t="shared" si="2"/>
        <v>5.0381222333644811</v>
      </c>
      <c r="F170" s="292">
        <f t="shared" si="2"/>
        <v>10.621912170391143</v>
      </c>
      <c r="G170" s="292">
        <f t="shared" si="2"/>
        <v>16.786962231799585</v>
      </c>
      <c r="H170" s="292">
        <f t="shared" si="2"/>
        <v>23.5708391636411</v>
      </c>
      <c r="I170" s="292">
        <f t="shared" si="2"/>
        <v>31.013185035452086</v>
      </c>
      <c r="J170" s="292">
        <f t="shared" si="2"/>
        <v>39.155823159339135</v>
      </c>
      <c r="K170" s="292">
        <f t="shared" si="2"/>
        <v>67.44649150454282</v>
      </c>
    </row>
    <row r="171" spans="1:11" s="289" customFormat="1" x14ac:dyDescent="0.2">
      <c r="B171" s="288"/>
      <c r="C171" s="288"/>
      <c r="D171" s="288"/>
      <c r="E171" s="288"/>
      <c r="F171" s="288"/>
    </row>
    <row r="172" spans="1:11" s="289" customFormat="1" x14ac:dyDescent="0.2">
      <c r="B172" s="288"/>
      <c r="C172" s="288"/>
      <c r="D172" s="288"/>
      <c r="E172" s="288"/>
      <c r="F172" s="288"/>
    </row>
    <row r="173" spans="1:11" s="289" customFormat="1" x14ac:dyDescent="0.2">
      <c r="B173" s="288"/>
      <c r="C173" s="288"/>
      <c r="D173" s="288"/>
      <c r="E173" s="288"/>
      <c r="F173" s="288"/>
    </row>
    <row r="174" spans="1:11" s="289" customFormat="1" x14ac:dyDescent="0.2">
      <c r="B174" s="288"/>
      <c r="C174" s="288"/>
      <c r="D174" s="288"/>
      <c r="E174" s="288"/>
      <c r="F174" s="288"/>
    </row>
    <row r="175" spans="1:11" s="289" customFormat="1" x14ac:dyDescent="0.2">
      <c r="B175" s="288"/>
      <c r="C175" s="288"/>
      <c r="D175" s="288"/>
      <c r="E175" s="288"/>
      <c r="F175" s="288"/>
    </row>
    <row r="176" spans="1:11" s="289" customFormat="1" x14ac:dyDescent="0.2">
      <c r="B176" s="288"/>
      <c r="C176" s="288"/>
      <c r="D176" s="288"/>
      <c r="E176" s="288"/>
      <c r="F176" s="288"/>
    </row>
    <row r="177" spans="1:6" s="289" customFormat="1" x14ac:dyDescent="0.2">
      <c r="B177" s="288"/>
      <c r="C177" s="288"/>
      <c r="D177" s="288"/>
      <c r="E177" s="288"/>
      <c r="F177" s="288"/>
    </row>
    <row r="178" spans="1:6" s="289" customFormat="1" x14ac:dyDescent="0.2">
      <c r="B178" s="288"/>
      <c r="C178" s="288"/>
      <c r="D178" s="288"/>
      <c r="E178" s="288"/>
      <c r="F178" s="288"/>
    </row>
    <row r="179" spans="1:6" s="289" customFormat="1" x14ac:dyDescent="0.2">
      <c r="B179" s="288"/>
      <c r="C179" s="288"/>
      <c r="D179" s="288"/>
      <c r="E179" s="288"/>
      <c r="F179" s="288"/>
    </row>
    <row r="180" spans="1:6" s="289" customFormat="1" x14ac:dyDescent="0.2">
      <c r="B180" s="288"/>
      <c r="C180" s="288"/>
      <c r="D180" s="288"/>
      <c r="E180" s="288"/>
      <c r="F180" s="288"/>
    </row>
    <row r="181" spans="1:6" s="289" customFormat="1" x14ac:dyDescent="0.2">
      <c r="A181" s="287"/>
      <c r="B181" s="288"/>
      <c r="C181" s="288"/>
      <c r="D181" s="288"/>
      <c r="E181" s="288"/>
      <c r="F181" s="288"/>
    </row>
    <row r="182" spans="1:6" s="289" customFormat="1" x14ac:dyDescent="0.2">
      <c r="B182" s="288"/>
      <c r="C182" s="288"/>
      <c r="D182" s="288"/>
      <c r="E182" s="288"/>
      <c r="F182" s="288"/>
    </row>
    <row r="183" spans="1:6" s="289" customFormat="1" x14ac:dyDescent="0.2">
      <c r="B183" s="288"/>
      <c r="C183" s="288"/>
      <c r="D183" s="288"/>
      <c r="E183" s="288"/>
      <c r="F183" s="288"/>
    </row>
    <row r="184" spans="1:6" s="289" customFormat="1" x14ac:dyDescent="0.2">
      <c r="B184" s="288"/>
      <c r="C184" s="288"/>
      <c r="D184" s="288"/>
      <c r="E184" s="288"/>
      <c r="F184" s="288"/>
    </row>
    <row r="185" spans="1:6" s="289" customFormat="1" x14ac:dyDescent="0.2">
      <c r="B185" s="288"/>
      <c r="C185" s="288"/>
      <c r="D185" s="288"/>
      <c r="E185" s="288"/>
      <c r="F185" s="288"/>
    </row>
  </sheetData>
  <mergeCells count="1">
    <mergeCell ref="A120:B120"/>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5" tint="-0.249977111117893"/>
  </sheetPr>
  <dimension ref="A1:P216"/>
  <sheetViews>
    <sheetView topLeftCell="A167" zoomScale="55" zoomScaleNormal="55" workbookViewId="0">
      <selection activeCell="A181" sqref="A181"/>
    </sheetView>
  </sheetViews>
  <sheetFormatPr defaultColWidth="11" defaultRowHeight="18" x14ac:dyDescent="0.25"/>
  <cols>
    <col min="1" max="1" width="113.75" style="46" customWidth="1"/>
    <col min="2" max="2" width="45.75" style="46" customWidth="1"/>
    <col min="3" max="3" width="17.75" style="46" customWidth="1"/>
    <col min="4" max="4" width="24.5" style="46" bestFit="1" customWidth="1"/>
    <col min="5" max="14" width="14" style="46" customWidth="1"/>
    <col min="15" max="16384" width="11" style="2"/>
  </cols>
  <sheetData>
    <row r="1" spans="1:14" x14ac:dyDescent="0.25">
      <c r="A1" s="1" t="s">
        <v>293</v>
      </c>
      <c r="B1" s="1" t="s">
        <v>1</v>
      </c>
      <c r="C1" s="1" t="s">
        <v>2</v>
      </c>
      <c r="D1" s="1" t="s">
        <v>75</v>
      </c>
      <c r="E1" s="1">
        <f>'Базовые параметры'!D3</f>
        <v>2022</v>
      </c>
      <c r="F1" s="1">
        <f>E1+1</f>
        <v>2023</v>
      </c>
      <c r="G1" s="1">
        <f t="shared" ref="G1:N1" si="0">F1+1</f>
        <v>2024</v>
      </c>
      <c r="H1" s="1">
        <f t="shared" si="0"/>
        <v>2025</v>
      </c>
      <c r="I1" s="1">
        <f t="shared" si="0"/>
        <v>2026</v>
      </c>
      <c r="J1" s="1">
        <f t="shared" si="0"/>
        <v>2027</v>
      </c>
      <c r="K1" s="1">
        <f t="shared" si="0"/>
        <v>2028</v>
      </c>
      <c r="L1" s="1">
        <f t="shared" si="0"/>
        <v>2029</v>
      </c>
      <c r="M1" s="1">
        <f t="shared" si="0"/>
        <v>2030</v>
      </c>
      <c r="N1" s="1">
        <f t="shared" si="0"/>
        <v>2031</v>
      </c>
    </row>
    <row r="2" spans="1:14" ht="20.25" x14ac:dyDescent="0.25">
      <c r="A2" s="383" t="s">
        <v>467</v>
      </c>
      <c r="B2" s="397"/>
      <c r="C2" s="398"/>
      <c r="D2" s="416"/>
      <c r="E2" s="417"/>
      <c r="F2" s="375"/>
      <c r="G2" s="397"/>
      <c r="H2" s="397"/>
      <c r="I2" s="397"/>
      <c r="J2" s="397"/>
      <c r="K2" s="397"/>
      <c r="L2" s="397"/>
      <c r="M2" s="397"/>
      <c r="N2" s="397"/>
    </row>
    <row r="3" spans="1:14" x14ac:dyDescent="0.25">
      <c r="A3" s="9" t="s">
        <v>245</v>
      </c>
      <c r="B3" s="404"/>
      <c r="C3" s="405"/>
      <c r="D3" s="414"/>
      <c r="E3" s="415"/>
      <c r="F3" s="389"/>
      <c r="G3" s="404"/>
      <c r="H3" s="404"/>
      <c r="I3" s="404"/>
      <c r="J3" s="404"/>
      <c r="K3" s="404"/>
      <c r="L3" s="404"/>
      <c r="M3" s="404"/>
      <c r="N3" s="404"/>
    </row>
    <row r="4" spans="1:14" ht="54" x14ac:dyDescent="0.25">
      <c r="A4" s="94" t="s">
        <v>551</v>
      </c>
      <c r="B4" s="101" t="s">
        <v>19</v>
      </c>
      <c r="C4" s="8" t="s">
        <v>247</v>
      </c>
      <c r="D4" s="95">
        <f>'Исходные данные'!D14</f>
        <v>4</v>
      </c>
      <c r="E4" s="323">
        <f>D4*'Базовые параметры'!D9*('Экономическая модель проекта'!D63+'Экономическая модель проекта'!D64)+D4*'Базовые параметры'!D12</f>
        <v>3.3200000000000003</v>
      </c>
      <c r="F4" s="323">
        <v>0</v>
      </c>
      <c r="G4" s="323">
        <v>0</v>
      </c>
      <c r="H4" s="323">
        <v>0</v>
      </c>
      <c r="I4" s="323">
        <f>D4-E4</f>
        <v>0.67999999999999972</v>
      </c>
      <c r="J4" s="323">
        <v>0</v>
      </c>
      <c r="K4" s="323">
        <v>0</v>
      </c>
      <c r="L4" s="323">
        <v>0</v>
      </c>
      <c r="M4" s="323">
        <v>0</v>
      </c>
      <c r="N4" s="323">
        <v>0</v>
      </c>
    </row>
    <row r="5" spans="1:14" ht="54" x14ac:dyDescent="0.3">
      <c r="A5" s="97" t="s">
        <v>552</v>
      </c>
      <c r="B5" s="101" t="s">
        <v>19</v>
      </c>
      <c r="C5" s="8" t="s">
        <v>247</v>
      </c>
      <c r="D5" s="95" t="s">
        <v>68</v>
      </c>
      <c r="E5" s="323">
        <f>E4</f>
        <v>3.3200000000000003</v>
      </c>
      <c r="F5" s="323">
        <f>E5+F4</f>
        <v>3.3200000000000003</v>
      </c>
      <c r="G5" s="323">
        <f t="shared" ref="G5:I5" si="1">F5+G4</f>
        <v>3.3200000000000003</v>
      </c>
      <c r="H5" s="323">
        <f t="shared" si="1"/>
        <v>3.3200000000000003</v>
      </c>
      <c r="I5" s="323">
        <f t="shared" si="1"/>
        <v>4</v>
      </c>
      <c r="J5" s="323">
        <f>I5+J4</f>
        <v>4</v>
      </c>
      <c r="K5" s="323">
        <f t="shared" ref="K5:N5" si="2">J5+K4</f>
        <v>4</v>
      </c>
      <c r="L5" s="323">
        <f t="shared" si="2"/>
        <v>4</v>
      </c>
      <c r="M5" s="323">
        <f t="shared" si="2"/>
        <v>4</v>
      </c>
      <c r="N5" s="323">
        <f t="shared" si="2"/>
        <v>4</v>
      </c>
    </row>
    <row r="6" spans="1:14" ht="54" x14ac:dyDescent="0.25">
      <c r="A6" s="94" t="s">
        <v>553</v>
      </c>
      <c r="B6" s="101" t="s">
        <v>19</v>
      </c>
      <c r="C6" s="8" t="s">
        <v>247</v>
      </c>
      <c r="D6" s="95">
        <f>'Исходные данные'!D15</f>
        <v>4</v>
      </c>
      <c r="E6" s="323">
        <f>D6*'Базовые параметры'!D15*('Экономическая модель проекта'!D63+'Экономическая модель проекта'!D64)+'Экономическая модель проекта'!D6*'Базовые параметры'!D12</f>
        <v>3.3200000000000003</v>
      </c>
      <c r="F6" s="323">
        <v>0</v>
      </c>
      <c r="G6" s="323">
        <v>0</v>
      </c>
      <c r="H6" s="323">
        <v>0</v>
      </c>
      <c r="I6" s="323">
        <f>D6-E6</f>
        <v>0.67999999999999972</v>
      </c>
      <c r="J6" s="323">
        <v>0</v>
      </c>
      <c r="K6" s="323">
        <v>0</v>
      </c>
      <c r="L6" s="323">
        <v>0</v>
      </c>
      <c r="M6" s="323">
        <v>0</v>
      </c>
      <c r="N6" s="323">
        <v>0</v>
      </c>
    </row>
    <row r="7" spans="1:14" ht="54" x14ac:dyDescent="0.3">
      <c r="A7" s="97" t="s">
        <v>554</v>
      </c>
      <c r="B7" s="101" t="s">
        <v>19</v>
      </c>
      <c r="C7" s="8" t="s">
        <v>247</v>
      </c>
      <c r="D7" s="95" t="s">
        <v>68</v>
      </c>
      <c r="E7" s="323">
        <f>E6</f>
        <v>3.3200000000000003</v>
      </c>
      <c r="F7" s="323">
        <f>E7+F6</f>
        <v>3.3200000000000003</v>
      </c>
      <c r="G7" s="323">
        <f t="shared" ref="G7:N7" si="3">F7+G6</f>
        <v>3.3200000000000003</v>
      </c>
      <c r="H7" s="323">
        <f t="shared" si="3"/>
        <v>3.3200000000000003</v>
      </c>
      <c r="I7" s="323">
        <f t="shared" si="3"/>
        <v>4</v>
      </c>
      <c r="J7" s="323">
        <f t="shared" si="3"/>
        <v>4</v>
      </c>
      <c r="K7" s="323">
        <f t="shared" si="3"/>
        <v>4</v>
      </c>
      <c r="L7" s="323">
        <f t="shared" si="3"/>
        <v>4</v>
      </c>
      <c r="M7" s="323">
        <f t="shared" si="3"/>
        <v>4</v>
      </c>
      <c r="N7" s="323">
        <f t="shared" si="3"/>
        <v>4</v>
      </c>
    </row>
    <row r="8" spans="1:14" ht="54" x14ac:dyDescent="0.25">
      <c r="A8" s="94" t="s">
        <v>555</v>
      </c>
      <c r="B8" s="101" t="s">
        <v>19</v>
      </c>
      <c r="C8" s="8" t="s">
        <v>247</v>
      </c>
      <c r="D8" s="95">
        <f>'Исходные данные'!D16</f>
        <v>2</v>
      </c>
      <c r="E8" s="323">
        <v>2</v>
      </c>
      <c r="F8" s="323">
        <v>0</v>
      </c>
      <c r="G8" s="323">
        <v>0</v>
      </c>
      <c r="H8" s="323">
        <v>0</v>
      </c>
      <c r="I8" s="323">
        <v>0</v>
      </c>
      <c r="J8" s="323">
        <v>0</v>
      </c>
      <c r="K8" s="323">
        <v>0</v>
      </c>
      <c r="L8" s="323">
        <v>0</v>
      </c>
      <c r="M8" s="323">
        <v>0</v>
      </c>
      <c r="N8" s="323">
        <v>0</v>
      </c>
    </row>
    <row r="9" spans="1:14" ht="54" x14ac:dyDescent="0.3">
      <c r="A9" s="97" t="s">
        <v>556</v>
      </c>
      <c r="B9" s="101" t="s">
        <v>19</v>
      </c>
      <c r="C9" s="8" t="s">
        <v>247</v>
      </c>
      <c r="D9" s="95" t="s">
        <v>68</v>
      </c>
      <c r="E9" s="323">
        <f>E8</f>
        <v>2</v>
      </c>
      <c r="F9" s="323">
        <f>E9+F8</f>
        <v>2</v>
      </c>
      <c r="G9" s="323">
        <f t="shared" ref="G9:N9" si="4">F9+G8</f>
        <v>2</v>
      </c>
      <c r="H9" s="323">
        <f t="shared" si="4"/>
        <v>2</v>
      </c>
      <c r="I9" s="323">
        <f t="shared" si="4"/>
        <v>2</v>
      </c>
      <c r="J9" s="323">
        <f t="shared" si="4"/>
        <v>2</v>
      </c>
      <c r="K9" s="323">
        <f t="shared" si="4"/>
        <v>2</v>
      </c>
      <c r="L9" s="323">
        <f t="shared" si="4"/>
        <v>2</v>
      </c>
      <c r="M9" s="323">
        <f t="shared" si="4"/>
        <v>2</v>
      </c>
      <c r="N9" s="323">
        <f t="shared" si="4"/>
        <v>2</v>
      </c>
    </row>
    <row r="10" spans="1:14" ht="54" x14ac:dyDescent="0.25">
      <c r="A10" s="94" t="s">
        <v>557</v>
      </c>
      <c r="B10" s="101" t="s">
        <v>19</v>
      </c>
      <c r="C10" s="8" t="s">
        <v>248</v>
      </c>
      <c r="D10" s="95">
        <f>'Исходные данные'!D20</f>
        <v>0.32</v>
      </c>
      <c r="E10" s="323">
        <f>D10</f>
        <v>0.32</v>
      </c>
      <c r="F10" s="323">
        <v>0</v>
      </c>
      <c r="G10" s="323">
        <v>0</v>
      </c>
      <c r="H10" s="323">
        <v>0</v>
      </c>
      <c r="I10" s="323">
        <v>0</v>
      </c>
      <c r="J10" s="323">
        <v>0</v>
      </c>
      <c r="K10" s="323">
        <v>0</v>
      </c>
      <c r="L10" s="323">
        <v>0</v>
      </c>
      <c r="M10" s="323">
        <v>0</v>
      </c>
      <c r="N10" s="323">
        <v>0</v>
      </c>
    </row>
    <row r="11" spans="1:14" ht="54" x14ac:dyDescent="0.3">
      <c r="A11" s="97" t="s">
        <v>558</v>
      </c>
      <c r="B11" s="101" t="s">
        <v>19</v>
      </c>
      <c r="C11" s="8" t="s">
        <v>248</v>
      </c>
      <c r="D11" s="95"/>
      <c r="E11" s="323">
        <f>E10</f>
        <v>0.32</v>
      </c>
      <c r="F11" s="323">
        <f>E11+F10</f>
        <v>0.32</v>
      </c>
      <c r="G11" s="323">
        <f>F11+G10</f>
        <v>0.32</v>
      </c>
      <c r="H11" s="323">
        <f t="shared" ref="H11:N11" si="5">G11+H10</f>
        <v>0.32</v>
      </c>
      <c r="I11" s="323">
        <f t="shared" si="5"/>
        <v>0.32</v>
      </c>
      <c r="J11" s="323">
        <f t="shared" si="5"/>
        <v>0.32</v>
      </c>
      <c r="K11" s="323">
        <f t="shared" si="5"/>
        <v>0.32</v>
      </c>
      <c r="L11" s="323">
        <f t="shared" si="5"/>
        <v>0.32</v>
      </c>
      <c r="M11" s="323">
        <f t="shared" si="5"/>
        <v>0.32</v>
      </c>
      <c r="N11" s="323">
        <f t="shared" si="5"/>
        <v>0.32</v>
      </c>
    </row>
    <row r="12" spans="1:14" ht="54" x14ac:dyDescent="0.25">
      <c r="A12" s="94" t="s">
        <v>246</v>
      </c>
      <c r="B12" s="101" t="s">
        <v>19</v>
      </c>
      <c r="C12" s="8" t="s">
        <v>248</v>
      </c>
      <c r="D12" s="95">
        <f>'Исходные данные'!D24</f>
        <v>0</v>
      </c>
      <c r="E12" s="323">
        <v>0</v>
      </c>
      <c r="F12" s="323">
        <v>0</v>
      </c>
      <c r="G12" s="323">
        <v>0</v>
      </c>
      <c r="H12" s="323">
        <v>0</v>
      </c>
      <c r="I12" s="323">
        <v>0</v>
      </c>
      <c r="J12" s="323">
        <v>0</v>
      </c>
      <c r="K12" s="323">
        <v>0</v>
      </c>
      <c r="L12" s="323">
        <v>0</v>
      </c>
      <c r="M12" s="323">
        <v>0</v>
      </c>
      <c r="N12" s="323">
        <v>0</v>
      </c>
    </row>
    <row r="13" spans="1:14" ht="54" x14ac:dyDescent="0.2">
      <c r="A13" s="171" t="s">
        <v>250</v>
      </c>
      <c r="B13" s="101" t="s">
        <v>19</v>
      </c>
      <c r="C13" s="8" t="s">
        <v>248</v>
      </c>
      <c r="D13" s="95" t="s">
        <v>68</v>
      </c>
      <c r="E13" s="95">
        <f>E12</f>
        <v>0</v>
      </c>
      <c r="F13" s="95">
        <f>E13+F12</f>
        <v>0</v>
      </c>
      <c r="G13" s="95">
        <f t="shared" ref="G13:N13" si="6">F13+G12</f>
        <v>0</v>
      </c>
      <c r="H13" s="95">
        <f t="shared" si="6"/>
        <v>0</v>
      </c>
      <c r="I13" s="95">
        <f t="shared" si="6"/>
        <v>0</v>
      </c>
      <c r="J13" s="95">
        <f t="shared" si="6"/>
        <v>0</v>
      </c>
      <c r="K13" s="95">
        <f t="shared" si="6"/>
        <v>0</v>
      </c>
      <c r="L13" s="95">
        <f t="shared" si="6"/>
        <v>0</v>
      </c>
      <c r="M13" s="95">
        <f t="shared" si="6"/>
        <v>0</v>
      </c>
      <c r="N13" s="95">
        <f t="shared" si="6"/>
        <v>0</v>
      </c>
    </row>
    <row r="14" spans="1:14" x14ac:dyDescent="0.25">
      <c r="A14" s="100" t="s">
        <v>385</v>
      </c>
      <c r="B14" s="404"/>
      <c r="C14" s="405"/>
      <c r="D14" s="413"/>
      <c r="E14" s="413"/>
      <c r="F14" s="413"/>
      <c r="G14" s="413"/>
      <c r="H14" s="413"/>
      <c r="I14" s="413"/>
      <c r="J14" s="413"/>
      <c r="K14" s="413"/>
      <c r="L14" s="413"/>
      <c r="M14" s="413"/>
      <c r="N14" s="413"/>
    </row>
    <row r="15" spans="1:14" ht="75" customHeight="1" x14ac:dyDescent="0.2">
      <c r="A15" s="104" t="s">
        <v>251</v>
      </c>
      <c r="B15" s="104" t="s">
        <v>507</v>
      </c>
      <c r="C15" s="330" t="s">
        <v>21</v>
      </c>
      <c r="D15" s="99">
        <v>1</v>
      </c>
      <c r="E15" s="2"/>
      <c r="F15" s="95"/>
      <c r="G15" s="95"/>
      <c r="H15" s="95"/>
      <c r="I15" s="95"/>
      <c r="J15" s="95"/>
      <c r="K15" s="95"/>
      <c r="L15" s="95"/>
      <c r="M15" s="95"/>
      <c r="N15" s="95"/>
    </row>
    <row r="16" spans="1:14" ht="54" x14ac:dyDescent="0.2">
      <c r="A16" s="104" t="s">
        <v>254</v>
      </c>
      <c r="B16" s="104" t="s">
        <v>507</v>
      </c>
      <c r="C16" s="330" t="s">
        <v>21</v>
      </c>
      <c r="D16" s="99">
        <v>2</v>
      </c>
      <c r="E16" s="95"/>
      <c r="F16" s="95"/>
      <c r="G16" s="95"/>
      <c r="H16" s="95"/>
      <c r="I16" s="95"/>
      <c r="J16" s="95"/>
      <c r="K16" s="95"/>
      <c r="L16" s="95"/>
      <c r="M16" s="95"/>
      <c r="N16" s="95"/>
    </row>
    <row r="17" spans="1:14" ht="57" customHeight="1" x14ac:dyDescent="0.2">
      <c r="A17" s="104" t="s">
        <v>261</v>
      </c>
      <c r="B17" s="104" t="s">
        <v>507</v>
      </c>
      <c r="C17" s="330" t="s">
        <v>262</v>
      </c>
      <c r="D17" s="99">
        <v>6</v>
      </c>
      <c r="E17" s="95"/>
      <c r="F17" s="95"/>
      <c r="G17" s="349"/>
      <c r="H17" s="95"/>
      <c r="I17" s="95"/>
      <c r="J17" s="95"/>
      <c r="K17" s="95"/>
      <c r="L17" s="95"/>
      <c r="M17" s="95"/>
      <c r="N17" s="95"/>
    </row>
    <row r="18" spans="1:14" ht="54" x14ac:dyDescent="0.2">
      <c r="A18" s="98" t="s">
        <v>252</v>
      </c>
      <c r="B18" s="102" t="s">
        <v>253</v>
      </c>
      <c r="C18" s="8" t="s">
        <v>247</v>
      </c>
      <c r="D18" s="324">
        <f>'Вспомогательный лист (Г)'!E28/1000</f>
        <v>57.12</v>
      </c>
      <c r="E18" s="324">
        <f>IF(($E$1+$D$15+$D$16)&gt;E$1,0,IF(E19&lt;$D$18,$D$18/$D$17,0))</f>
        <v>0</v>
      </c>
      <c r="F18" s="324">
        <f>IF(($E$1+$D$15+$D$16)&gt;F$1,0,IF(F19&lt;$D$18,$D$18/$D$17,0))</f>
        <v>0</v>
      </c>
      <c r="G18" s="324">
        <f>IF(($E$1+$D$15+$D$16)&gt;G$1,0,IF(G19&lt;$D$18,$D$18/$D$17,0))</f>
        <v>0</v>
      </c>
      <c r="H18" s="324">
        <f t="shared" ref="H18:N18" si="7">IF(($E$1+$D$15+$D$16)&gt;H$1,0,IF(G19&lt;$D$18,$D$18/$D$17,0))</f>
        <v>9.52</v>
      </c>
      <c r="I18" s="324">
        <f t="shared" si="7"/>
        <v>9.52</v>
      </c>
      <c r="J18" s="324">
        <f t="shared" si="7"/>
        <v>9.52</v>
      </c>
      <c r="K18" s="324">
        <f t="shared" si="7"/>
        <v>9.52</v>
      </c>
      <c r="L18" s="324">
        <f t="shared" si="7"/>
        <v>9.52</v>
      </c>
      <c r="M18" s="324">
        <f t="shared" si="7"/>
        <v>9.52</v>
      </c>
      <c r="N18" s="324">
        <f t="shared" si="7"/>
        <v>0</v>
      </c>
    </row>
    <row r="19" spans="1:14" ht="54" x14ac:dyDescent="0.2">
      <c r="A19" s="103" t="s">
        <v>259</v>
      </c>
      <c r="B19" s="102" t="s">
        <v>253</v>
      </c>
      <c r="C19" s="8" t="s">
        <v>247</v>
      </c>
      <c r="D19" s="324" t="s">
        <v>68</v>
      </c>
      <c r="E19" s="324">
        <v>0</v>
      </c>
      <c r="F19" s="324">
        <f>E19+F18</f>
        <v>0</v>
      </c>
      <c r="G19" s="324">
        <f t="shared" ref="G19:N19" si="8">F19+G18</f>
        <v>0</v>
      </c>
      <c r="H19" s="324">
        <f t="shared" si="8"/>
        <v>9.52</v>
      </c>
      <c r="I19" s="324">
        <f t="shared" si="8"/>
        <v>19.04</v>
      </c>
      <c r="J19" s="324">
        <f t="shared" si="8"/>
        <v>28.56</v>
      </c>
      <c r="K19" s="324">
        <f t="shared" si="8"/>
        <v>38.08</v>
      </c>
      <c r="L19" s="324">
        <f t="shared" si="8"/>
        <v>47.599999999999994</v>
      </c>
      <c r="M19" s="324">
        <f t="shared" si="8"/>
        <v>57.11999999999999</v>
      </c>
      <c r="N19" s="324">
        <f t="shared" si="8"/>
        <v>57.11999999999999</v>
      </c>
    </row>
    <row r="20" spans="1:14" ht="54" x14ac:dyDescent="0.2">
      <c r="A20" s="98" t="s">
        <v>560</v>
      </c>
      <c r="B20" s="102" t="s">
        <v>253</v>
      </c>
      <c r="C20" s="8" t="s">
        <v>248</v>
      </c>
      <c r="D20" s="324">
        <f>'Вспомогательный лист (Г)'!E29/1000</f>
        <v>10.08</v>
      </c>
      <c r="E20" s="324">
        <f t="shared" ref="E20:N20" si="9">$D$20/$D$18*E18</f>
        <v>0</v>
      </c>
      <c r="F20" s="324">
        <f t="shared" si="9"/>
        <v>0</v>
      </c>
      <c r="G20" s="324">
        <f t="shared" si="9"/>
        <v>0</v>
      </c>
      <c r="H20" s="324">
        <f t="shared" si="9"/>
        <v>1.68</v>
      </c>
      <c r="I20" s="324">
        <f t="shared" si="9"/>
        <v>1.68</v>
      </c>
      <c r="J20" s="324">
        <f t="shared" si="9"/>
        <v>1.68</v>
      </c>
      <c r="K20" s="324">
        <f t="shared" si="9"/>
        <v>1.68</v>
      </c>
      <c r="L20" s="324">
        <f t="shared" si="9"/>
        <v>1.68</v>
      </c>
      <c r="M20" s="324">
        <f t="shared" si="9"/>
        <v>1.68</v>
      </c>
      <c r="N20" s="324">
        <f t="shared" si="9"/>
        <v>0</v>
      </c>
    </row>
    <row r="21" spans="1:14" ht="54" x14ac:dyDescent="0.2">
      <c r="A21" s="103" t="s">
        <v>561</v>
      </c>
      <c r="B21" s="102" t="s">
        <v>253</v>
      </c>
      <c r="C21" s="8" t="s">
        <v>248</v>
      </c>
      <c r="D21" s="324" t="s">
        <v>68</v>
      </c>
      <c r="E21" s="324">
        <f>E20</f>
        <v>0</v>
      </c>
      <c r="F21" s="324">
        <f>E21+F20</f>
        <v>0</v>
      </c>
      <c r="G21" s="324">
        <f t="shared" ref="G21:N21" si="10">F21+G20</f>
        <v>0</v>
      </c>
      <c r="H21" s="324">
        <f t="shared" si="10"/>
        <v>1.68</v>
      </c>
      <c r="I21" s="324">
        <f t="shared" si="10"/>
        <v>3.36</v>
      </c>
      <c r="J21" s="324">
        <f t="shared" si="10"/>
        <v>5.04</v>
      </c>
      <c r="K21" s="324">
        <f t="shared" si="10"/>
        <v>6.72</v>
      </c>
      <c r="L21" s="324">
        <f t="shared" si="10"/>
        <v>8.4</v>
      </c>
      <c r="M21" s="324">
        <f t="shared" si="10"/>
        <v>10.08</v>
      </c>
      <c r="N21" s="324">
        <f t="shared" si="10"/>
        <v>10.08</v>
      </c>
    </row>
    <row r="22" spans="1:14" ht="54" x14ac:dyDescent="0.2">
      <c r="A22" s="98" t="s">
        <v>246</v>
      </c>
      <c r="B22" s="102" t="s">
        <v>253</v>
      </c>
      <c r="C22" s="8" t="s">
        <v>248</v>
      </c>
      <c r="D22" s="324">
        <f>'Вспомогательный лист (Г)'!E33/1000</f>
        <v>9</v>
      </c>
      <c r="E22" s="324">
        <v>0</v>
      </c>
      <c r="F22" s="324">
        <v>0</v>
      </c>
      <c r="G22" s="324">
        <v>0</v>
      </c>
      <c r="H22" s="324">
        <v>0</v>
      </c>
      <c r="I22" s="324">
        <v>0</v>
      </c>
      <c r="J22" s="324">
        <v>0</v>
      </c>
      <c r="K22" s="324">
        <v>0</v>
      </c>
      <c r="L22" s="324">
        <v>0</v>
      </c>
      <c r="M22" s="324">
        <v>0</v>
      </c>
      <c r="N22" s="324">
        <f>D22</f>
        <v>9</v>
      </c>
    </row>
    <row r="23" spans="1:14" ht="54" x14ac:dyDescent="0.2">
      <c r="A23" s="103" t="s">
        <v>260</v>
      </c>
      <c r="B23" s="102" t="s">
        <v>253</v>
      </c>
      <c r="C23" s="8" t="s">
        <v>248</v>
      </c>
      <c r="D23" s="324" t="s">
        <v>68</v>
      </c>
      <c r="E23" s="324">
        <f>E22</f>
        <v>0</v>
      </c>
      <c r="F23" s="324">
        <f>E23+F22</f>
        <v>0</v>
      </c>
      <c r="G23" s="324">
        <f t="shared" ref="G23:N23" si="11">F23+G22</f>
        <v>0</v>
      </c>
      <c r="H23" s="324">
        <f t="shared" si="11"/>
        <v>0</v>
      </c>
      <c r="I23" s="324">
        <f t="shared" si="11"/>
        <v>0</v>
      </c>
      <c r="J23" s="324">
        <f t="shared" si="11"/>
        <v>0</v>
      </c>
      <c r="K23" s="324">
        <f t="shared" si="11"/>
        <v>0</v>
      </c>
      <c r="L23" s="324">
        <f t="shared" si="11"/>
        <v>0</v>
      </c>
      <c r="M23" s="324">
        <f t="shared" si="11"/>
        <v>0</v>
      </c>
      <c r="N23" s="324">
        <f t="shared" si="11"/>
        <v>9</v>
      </c>
    </row>
    <row r="24" spans="1:14" ht="54" x14ac:dyDescent="0.2">
      <c r="A24" s="98" t="s">
        <v>498</v>
      </c>
      <c r="B24" s="102" t="s">
        <v>253</v>
      </c>
      <c r="C24" s="8" t="s">
        <v>248</v>
      </c>
      <c r="D24" s="324">
        <f>SUM(D25:D27)</f>
        <v>1.1995199999999999</v>
      </c>
      <c r="E24" s="324">
        <f t="shared" ref="E24:N24" si="12">SUM(E25:E27)</f>
        <v>0</v>
      </c>
      <c r="F24" s="324">
        <f t="shared" si="12"/>
        <v>0</v>
      </c>
      <c r="G24" s="324">
        <f t="shared" si="12"/>
        <v>0</v>
      </c>
      <c r="H24" s="324">
        <f t="shared" si="12"/>
        <v>0.19992000000000001</v>
      </c>
      <c r="I24" s="324">
        <f t="shared" si="12"/>
        <v>0.19992000000000001</v>
      </c>
      <c r="J24" s="324">
        <f t="shared" si="12"/>
        <v>0.19992000000000001</v>
      </c>
      <c r="K24" s="324">
        <f t="shared" si="12"/>
        <v>0.19992000000000001</v>
      </c>
      <c r="L24" s="324">
        <f t="shared" si="12"/>
        <v>0.19992000000000001</v>
      </c>
      <c r="M24" s="324">
        <f t="shared" si="12"/>
        <v>0.19992000000000001</v>
      </c>
      <c r="N24" s="324">
        <f t="shared" si="12"/>
        <v>0</v>
      </c>
    </row>
    <row r="25" spans="1:14" ht="54" x14ac:dyDescent="0.25">
      <c r="A25" s="94" t="s">
        <v>255</v>
      </c>
      <c r="B25" s="102" t="s">
        <v>253</v>
      </c>
      <c r="C25" s="8" t="s">
        <v>248</v>
      </c>
      <c r="D25" s="324">
        <f>IF('Базовые параметры'!D5&lt;5,'Градостроительная модель'!D35/1000-'Исходные данные'!D27,IF('Базовые параметры'!D5&lt;10,'Градостроительная модель'!E35/1000-'Исходные данные'!D27,'Градостроительная модель'!F35/1000-'Исходные данные'!D27))</f>
        <v>0</v>
      </c>
      <c r="E25" s="324">
        <f>$D$25*E18/$D$18</f>
        <v>0</v>
      </c>
      <c r="F25" s="324">
        <f t="shared" ref="F25:N25" si="13">$D$25*F18/$D$18</f>
        <v>0</v>
      </c>
      <c r="G25" s="324">
        <f t="shared" si="13"/>
        <v>0</v>
      </c>
      <c r="H25" s="324">
        <f t="shared" si="13"/>
        <v>0</v>
      </c>
      <c r="I25" s="324">
        <f t="shared" si="13"/>
        <v>0</v>
      </c>
      <c r="J25" s="324">
        <f t="shared" si="13"/>
        <v>0</v>
      </c>
      <c r="K25" s="324">
        <f t="shared" si="13"/>
        <v>0</v>
      </c>
      <c r="L25" s="324">
        <f t="shared" si="13"/>
        <v>0</v>
      </c>
      <c r="M25" s="324">
        <f t="shared" si="13"/>
        <v>0</v>
      </c>
      <c r="N25" s="324">
        <f t="shared" si="13"/>
        <v>0</v>
      </c>
    </row>
    <row r="26" spans="1:14" ht="54" x14ac:dyDescent="0.25">
      <c r="A26" s="94" t="s">
        <v>256</v>
      </c>
      <c r="B26" s="102" t="s">
        <v>253</v>
      </c>
      <c r="C26" s="8" t="s">
        <v>248</v>
      </c>
      <c r="D26" s="324">
        <f>IF('Базовые параметры'!D5&lt;5,'Градостроительная модель'!D36/1000-'Исходные данные'!D28,IF('Базовые параметры'!D5&lt;10,'Градостроительная модель'!E36/1000-'Исходные данные'!D28,'Градостроительная модель'!F36/1000-'Исходные данные'!D28))</f>
        <v>1.1995199999999999</v>
      </c>
      <c r="E26" s="324">
        <f>$D$26*E18/$D$18</f>
        <v>0</v>
      </c>
      <c r="F26" s="324">
        <f t="shared" ref="F26:N26" si="14">$D$26*F18/$D$18</f>
        <v>0</v>
      </c>
      <c r="G26" s="324">
        <f t="shared" si="14"/>
        <v>0</v>
      </c>
      <c r="H26" s="324">
        <f t="shared" si="14"/>
        <v>0.19992000000000001</v>
      </c>
      <c r="I26" s="324">
        <f t="shared" si="14"/>
        <v>0.19992000000000001</v>
      </c>
      <c r="J26" s="324">
        <f t="shared" si="14"/>
        <v>0.19992000000000001</v>
      </c>
      <c r="K26" s="324">
        <f t="shared" si="14"/>
        <v>0.19992000000000001</v>
      </c>
      <c r="L26" s="324">
        <f t="shared" si="14"/>
        <v>0.19992000000000001</v>
      </c>
      <c r="M26" s="324">
        <f t="shared" si="14"/>
        <v>0.19992000000000001</v>
      </c>
      <c r="N26" s="324">
        <f t="shared" si="14"/>
        <v>0</v>
      </c>
    </row>
    <row r="27" spans="1:14" ht="54" x14ac:dyDescent="0.25">
      <c r="A27" s="94" t="s">
        <v>257</v>
      </c>
      <c r="B27" s="3" t="s">
        <v>253</v>
      </c>
      <c r="C27" s="8" t="s">
        <v>248</v>
      </c>
      <c r="D27" s="324">
        <f>IF('Базовые параметры'!D5&lt;5,'Градостроительная модель'!D37/1000-'Исходные данные'!D29,IF('Базовые параметры'!D5&lt;10,'Градостроительная модель'!E37/1000-'Исходные данные'!D29,'Градостроительная модель'!F37/1000-'Исходные данные'!D29))</f>
        <v>0</v>
      </c>
      <c r="E27" s="324">
        <f>$D$27*E18/$D$18</f>
        <v>0</v>
      </c>
      <c r="F27" s="324">
        <f t="shared" ref="F27:N27" si="15">$D$27*F18/$D$18</f>
        <v>0</v>
      </c>
      <c r="G27" s="324">
        <f t="shared" si="15"/>
        <v>0</v>
      </c>
      <c r="H27" s="324">
        <f t="shared" si="15"/>
        <v>0</v>
      </c>
      <c r="I27" s="324">
        <f t="shared" si="15"/>
        <v>0</v>
      </c>
      <c r="J27" s="324">
        <f t="shared" si="15"/>
        <v>0</v>
      </c>
      <c r="K27" s="324">
        <f t="shared" si="15"/>
        <v>0</v>
      </c>
      <c r="L27" s="324">
        <f t="shared" si="15"/>
        <v>0</v>
      </c>
      <c r="M27" s="324">
        <f t="shared" si="15"/>
        <v>0</v>
      </c>
      <c r="N27" s="324">
        <f t="shared" si="15"/>
        <v>0</v>
      </c>
    </row>
    <row r="28" spans="1:14" x14ac:dyDescent="0.25">
      <c r="A28" s="93" t="s">
        <v>182</v>
      </c>
      <c r="B28" s="3" t="s">
        <v>253</v>
      </c>
      <c r="C28" s="6" t="s">
        <v>30</v>
      </c>
      <c r="D28" s="324">
        <f>'Вспомогательный лист (Г)'!E48</f>
        <v>915.6</v>
      </c>
      <c r="E28" s="324">
        <f>$D$28*E18/$D$18</f>
        <v>0</v>
      </c>
      <c r="F28" s="324">
        <f t="shared" ref="F28:N28" si="16">$D$28*F18/$D$18</f>
        <v>0</v>
      </c>
      <c r="G28" s="324">
        <f t="shared" si="16"/>
        <v>0</v>
      </c>
      <c r="H28" s="324">
        <f t="shared" si="16"/>
        <v>152.60000000000002</v>
      </c>
      <c r="I28" s="324">
        <f t="shared" si="16"/>
        <v>152.60000000000002</v>
      </c>
      <c r="J28" s="324">
        <f t="shared" si="16"/>
        <v>152.60000000000002</v>
      </c>
      <c r="K28" s="324">
        <f>$D$28*K18/$D$18</f>
        <v>152.60000000000002</v>
      </c>
      <c r="L28" s="324">
        <f t="shared" si="16"/>
        <v>152.60000000000002</v>
      </c>
      <c r="M28" s="324">
        <f t="shared" si="16"/>
        <v>152.60000000000002</v>
      </c>
      <c r="N28" s="324">
        <f t="shared" si="16"/>
        <v>0</v>
      </c>
    </row>
    <row r="29" spans="1:14" ht="18.75" x14ac:dyDescent="0.3">
      <c r="A29" s="154" t="s">
        <v>386</v>
      </c>
      <c r="B29" s="3" t="s">
        <v>253</v>
      </c>
      <c r="C29" s="6" t="s">
        <v>30</v>
      </c>
      <c r="D29" s="324" t="s">
        <v>68</v>
      </c>
      <c r="E29" s="324">
        <f>E28</f>
        <v>0</v>
      </c>
      <c r="F29" s="324">
        <f>E29+F28</f>
        <v>0</v>
      </c>
      <c r="G29" s="324">
        <f t="shared" ref="G29:N29" si="17">F29+G28</f>
        <v>0</v>
      </c>
      <c r="H29" s="324">
        <f t="shared" si="17"/>
        <v>152.60000000000002</v>
      </c>
      <c r="I29" s="324">
        <f t="shared" si="17"/>
        <v>305.20000000000005</v>
      </c>
      <c r="J29" s="324">
        <f t="shared" si="17"/>
        <v>457.80000000000007</v>
      </c>
      <c r="K29" s="324">
        <f t="shared" si="17"/>
        <v>610.40000000000009</v>
      </c>
      <c r="L29" s="324">
        <f t="shared" si="17"/>
        <v>763.00000000000011</v>
      </c>
      <c r="M29" s="324">
        <f t="shared" si="17"/>
        <v>915.60000000000014</v>
      </c>
      <c r="N29" s="324">
        <f t="shared" si="17"/>
        <v>915.60000000000014</v>
      </c>
    </row>
    <row r="30" spans="1:14" ht="20.25" x14ac:dyDescent="0.3">
      <c r="A30" s="396" t="s">
        <v>8</v>
      </c>
      <c r="B30" s="401"/>
      <c r="C30" s="402"/>
      <c r="D30" s="402"/>
      <c r="E30" s="403"/>
      <c r="F30" s="401"/>
      <c r="G30" s="401"/>
      <c r="H30" s="401"/>
      <c r="I30" s="401"/>
      <c r="J30" s="401"/>
      <c r="K30" s="401"/>
      <c r="L30" s="401"/>
      <c r="M30" s="401"/>
      <c r="N30" s="401"/>
    </row>
    <row r="31" spans="1:14" x14ac:dyDescent="0.25">
      <c r="A31" s="13" t="s">
        <v>269</v>
      </c>
      <c r="B31" s="404"/>
      <c r="C31" s="405"/>
      <c r="D31" s="406"/>
      <c r="E31" s="407"/>
      <c r="F31" s="408"/>
      <c r="G31" s="408"/>
      <c r="H31" s="408"/>
      <c r="I31" s="408"/>
      <c r="J31" s="408"/>
      <c r="K31" s="408"/>
      <c r="L31" s="408"/>
      <c r="M31" s="408"/>
      <c r="N31" s="408"/>
    </row>
    <row r="32" spans="1:14" x14ac:dyDescent="0.25">
      <c r="A32" s="25" t="s">
        <v>25</v>
      </c>
      <c r="B32" s="3" t="s">
        <v>0</v>
      </c>
      <c r="C32" s="185" t="s">
        <v>28</v>
      </c>
      <c r="D32" s="191">
        <v>1</v>
      </c>
      <c r="E32" s="192">
        <f>('Калькулятор чувствительности'!D48+1)</f>
        <v>1.04</v>
      </c>
      <c r="F32" s="192">
        <f>E32</f>
        <v>1.04</v>
      </c>
      <c r="G32" s="192">
        <f t="shared" ref="G32:N32" si="18">F32</f>
        <v>1.04</v>
      </c>
      <c r="H32" s="192">
        <f t="shared" si="18"/>
        <v>1.04</v>
      </c>
      <c r="I32" s="192">
        <f t="shared" si="18"/>
        <v>1.04</v>
      </c>
      <c r="J32" s="192">
        <f t="shared" si="18"/>
        <v>1.04</v>
      </c>
      <c r="K32" s="192">
        <f t="shared" si="18"/>
        <v>1.04</v>
      </c>
      <c r="L32" s="192">
        <f t="shared" si="18"/>
        <v>1.04</v>
      </c>
      <c r="M32" s="192">
        <f t="shared" si="18"/>
        <v>1.04</v>
      </c>
      <c r="N32" s="193">
        <f t="shared" si="18"/>
        <v>1.04</v>
      </c>
    </row>
    <row r="33" spans="1:14" x14ac:dyDescent="0.25">
      <c r="A33" s="26" t="s">
        <v>26</v>
      </c>
      <c r="B33" s="3" t="s">
        <v>253</v>
      </c>
      <c r="C33" s="185" t="s">
        <v>28</v>
      </c>
      <c r="D33" s="195">
        <f>1</f>
        <v>1</v>
      </c>
      <c r="E33" s="195">
        <f>E32*D33</f>
        <v>1.04</v>
      </c>
      <c r="F33" s="196">
        <f>F32*E33</f>
        <v>1.0816000000000001</v>
      </c>
      <c r="G33" s="196">
        <f t="shared" ref="G33:N33" si="19">G32*F33</f>
        <v>1.1248640000000001</v>
      </c>
      <c r="H33" s="196">
        <f t="shared" si="19"/>
        <v>1.1698585600000002</v>
      </c>
      <c r="I33" s="196">
        <f t="shared" si="19"/>
        <v>1.2166529024000003</v>
      </c>
      <c r="J33" s="196">
        <f t="shared" si="19"/>
        <v>1.2653190184960004</v>
      </c>
      <c r="K33" s="196">
        <f t="shared" si="19"/>
        <v>1.3159317792358405</v>
      </c>
      <c r="L33" s="196">
        <f t="shared" si="19"/>
        <v>1.3685690504052741</v>
      </c>
      <c r="M33" s="196">
        <f t="shared" si="19"/>
        <v>1.4233118124214852</v>
      </c>
      <c r="N33" s="196">
        <f t="shared" si="19"/>
        <v>1.4802442849183446</v>
      </c>
    </row>
    <row r="34" spans="1:14" x14ac:dyDescent="0.25">
      <c r="A34" s="26" t="s">
        <v>437</v>
      </c>
      <c r="B34" s="3" t="s">
        <v>0</v>
      </c>
      <c r="C34" s="185" t="s">
        <v>28</v>
      </c>
      <c r="D34" s="195">
        <v>1</v>
      </c>
      <c r="E34" s="196">
        <f>('Калькулятор чувствительности'!D49+1)</f>
        <v>1</v>
      </c>
      <c r="F34" s="196">
        <f>E34</f>
        <v>1</v>
      </c>
      <c r="G34" s="196">
        <f t="shared" ref="G34:N34" si="20">F34</f>
        <v>1</v>
      </c>
      <c r="H34" s="196">
        <f t="shared" si="20"/>
        <v>1</v>
      </c>
      <c r="I34" s="196">
        <f t="shared" si="20"/>
        <v>1</v>
      </c>
      <c r="J34" s="196">
        <f t="shared" si="20"/>
        <v>1</v>
      </c>
      <c r="K34" s="196">
        <f t="shared" si="20"/>
        <v>1</v>
      </c>
      <c r="L34" s="196">
        <f t="shared" si="20"/>
        <v>1</v>
      </c>
      <c r="M34" s="196">
        <f t="shared" si="20"/>
        <v>1</v>
      </c>
      <c r="N34" s="196">
        <f t="shared" si="20"/>
        <v>1</v>
      </c>
    </row>
    <row r="35" spans="1:14" x14ac:dyDescent="0.25">
      <c r="A35" s="26" t="s">
        <v>438</v>
      </c>
      <c r="B35" s="3" t="s">
        <v>253</v>
      </c>
      <c r="C35" s="185" t="s">
        <v>28</v>
      </c>
      <c r="D35" s="195">
        <v>1</v>
      </c>
      <c r="E35" s="195">
        <f>E34*D35</f>
        <v>1</v>
      </c>
      <c r="F35" s="195">
        <f t="shared" ref="F35:N35" si="21">F34*E35</f>
        <v>1</v>
      </c>
      <c r="G35" s="195">
        <f t="shared" si="21"/>
        <v>1</v>
      </c>
      <c r="H35" s="195">
        <f t="shared" si="21"/>
        <v>1</v>
      </c>
      <c r="I35" s="195">
        <f t="shared" si="21"/>
        <v>1</v>
      </c>
      <c r="J35" s="195">
        <f t="shared" si="21"/>
        <v>1</v>
      </c>
      <c r="K35" s="195">
        <f t="shared" si="21"/>
        <v>1</v>
      </c>
      <c r="L35" s="195">
        <f t="shared" si="21"/>
        <v>1</v>
      </c>
      <c r="M35" s="195">
        <f t="shared" si="21"/>
        <v>1</v>
      </c>
      <c r="N35" s="195">
        <f t="shared" si="21"/>
        <v>1</v>
      </c>
    </row>
    <row r="36" spans="1:14" x14ac:dyDescent="0.25">
      <c r="A36" s="12" t="s">
        <v>27</v>
      </c>
      <c r="B36" s="40" t="s">
        <v>264</v>
      </c>
      <c r="C36" s="185" t="s">
        <v>28</v>
      </c>
      <c r="D36" s="195">
        <f>$D$32</f>
        <v>1</v>
      </c>
      <c r="E36" s="196">
        <f>E32*E34</f>
        <v>1.04</v>
      </c>
      <c r="F36" s="196">
        <f t="shared" ref="F36:N36" si="22">F32*F34</f>
        <v>1.04</v>
      </c>
      <c r="G36" s="196">
        <f t="shared" si="22"/>
        <v>1.04</v>
      </c>
      <c r="H36" s="196">
        <f t="shared" si="22"/>
        <v>1.04</v>
      </c>
      <c r="I36" s="196">
        <f t="shared" si="22"/>
        <v>1.04</v>
      </c>
      <c r="J36" s="196">
        <f t="shared" si="22"/>
        <v>1.04</v>
      </c>
      <c r="K36" s="196">
        <f t="shared" si="22"/>
        <v>1.04</v>
      </c>
      <c r="L36" s="196">
        <f t="shared" si="22"/>
        <v>1.04</v>
      </c>
      <c r="M36" s="196">
        <f t="shared" si="22"/>
        <v>1.04</v>
      </c>
      <c r="N36" s="196">
        <f t="shared" si="22"/>
        <v>1.04</v>
      </c>
    </row>
    <row r="37" spans="1:14" x14ac:dyDescent="0.25">
      <c r="A37" s="12" t="s">
        <v>265</v>
      </c>
      <c r="B37" s="40" t="s">
        <v>264</v>
      </c>
      <c r="C37" s="185" t="s">
        <v>28</v>
      </c>
      <c r="D37" s="195">
        <v>1</v>
      </c>
      <c r="E37" s="196">
        <f>E32</f>
        <v>1.04</v>
      </c>
      <c r="F37" s="196">
        <f t="shared" ref="F37:N37" si="23">F32</f>
        <v>1.04</v>
      </c>
      <c r="G37" s="196">
        <f t="shared" si="23"/>
        <v>1.04</v>
      </c>
      <c r="H37" s="196">
        <f t="shared" si="23"/>
        <v>1.04</v>
      </c>
      <c r="I37" s="196">
        <f t="shared" si="23"/>
        <v>1.04</v>
      </c>
      <c r="J37" s="196">
        <f t="shared" si="23"/>
        <v>1.04</v>
      </c>
      <c r="K37" s="196">
        <f t="shared" si="23"/>
        <v>1.04</v>
      </c>
      <c r="L37" s="196">
        <f t="shared" si="23"/>
        <v>1.04</v>
      </c>
      <c r="M37" s="196">
        <f t="shared" si="23"/>
        <v>1.04</v>
      </c>
      <c r="N37" s="196">
        <f t="shared" si="23"/>
        <v>1.04</v>
      </c>
    </row>
    <row r="38" spans="1:14" x14ac:dyDescent="0.25">
      <c r="A38" s="26" t="s">
        <v>244</v>
      </c>
      <c r="B38" s="40" t="s">
        <v>264</v>
      </c>
      <c r="C38" s="185" t="s">
        <v>28</v>
      </c>
      <c r="D38" s="195">
        <f>$D$32</f>
        <v>1</v>
      </c>
      <c r="E38" s="196">
        <f>E32</f>
        <v>1.04</v>
      </c>
      <c r="F38" s="196">
        <f t="shared" ref="F38:N38" si="24">F32</f>
        <v>1.04</v>
      </c>
      <c r="G38" s="196">
        <f t="shared" si="24"/>
        <v>1.04</v>
      </c>
      <c r="H38" s="196">
        <f t="shared" si="24"/>
        <v>1.04</v>
      </c>
      <c r="I38" s="196">
        <f t="shared" si="24"/>
        <v>1.04</v>
      </c>
      <c r="J38" s="196">
        <f t="shared" si="24"/>
        <v>1.04</v>
      </c>
      <c r="K38" s="196">
        <f t="shared" si="24"/>
        <v>1.04</v>
      </c>
      <c r="L38" s="196">
        <f t="shared" si="24"/>
        <v>1.04</v>
      </c>
      <c r="M38" s="196">
        <f t="shared" si="24"/>
        <v>1.04</v>
      </c>
      <c r="N38" s="196">
        <f t="shared" si="24"/>
        <v>1.04</v>
      </c>
    </row>
    <row r="39" spans="1:14" x14ac:dyDescent="0.25">
      <c r="A39" s="13" t="s">
        <v>266</v>
      </c>
      <c r="B39" s="404"/>
      <c r="C39" s="409"/>
      <c r="D39" s="410"/>
      <c r="E39" s="411"/>
      <c r="F39" s="412"/>
      <c r="G39" s="412"/>
      <c r="H39" s="412"/>
      <c r="I39" s="412"/>
      <c r="J39" s="412"/>
      <c r="K39" s="412"/>
      <c r="L39" s="412"/>
      <c r="M39" s="412"/>
      <c r="N39" s="412"/>
    </row>
    <row r="40" spans="1:14" s="15" customFormat="1" x14ac:dyDescent="0.25">
      <c r="A40" s="14" t="s">
        <v>267</v>
      </c>
      <c r="B40" s="3" t="s">
        <v>0</v>
      </c>
      <c r="C40" s="186" t="s">
        <v>268</v>
      </c>
      <c r="D40" s="194">
        <f>'Исходные данные'!D74</f>
        <v>50</v>
      </c>
      <c r="E40" s="187">
        <f>D40*E32</f>
        <v>52</v>
      </c>
      <c r="F40" s="187">
        <f t="shared" ref="F40:N40" si="25">E40*F32</f>
        <v>54.08</v>
      </c>
      <c r="G40" s="187">
        <f t="shared" si="25"/>
        <v>56.243200000000002</v>
      </c>
      <c r="H40" s="187">
        <f t="shared" si="25"/>
        <v>58.492928000000006</v>
      </c>
      <c r="I40" s="187">
        <f t="shared" si="25"/>
        <v>60.832645120000009</v>
      </c>
      <c r="J40" s="187">
        <f>I40*J32</f>
        <v>63.265950924800009</v>
      </c>
      <c r="K40" s="187">
        <f t="shared" si="25"/>
        <v>65.796588961792011</v>
      </c>
      <c r="L40" s="187">
        <f t="shared" si="25"/>
        <v>68.42845252026369</v>
      </c>
      <c r="M40" s="187">
        <f t="shared" si="25"/>
        <v>71.165590621074244</v>
      </c>
      <c r="N40" s="187">
        <f t="shared" si="25"/>
        <v>74.012214245917221</v>
      </c>
    </row>
    <row r="41" spans="1:14" x14ac:dyDescent="0.25">
      <c r="A41" s="16" t="s">
        <v>29</v>
      </c>
      <c r="B41" s="3" t="s">
        <v>0</v>
      </c>
      <c r="C41" s="111" t="s">
        <v>9</v>
      </c>
      <c r="D41" s="188">
        <f>'Исходные данные'!D65</f>
        <v>91.2</v>
      </c>
      <c r="E41" s="189">
        <f>D41*E36</f>
        <v>94.848000000000013</v>
      </c>
      <c r="F41" s="189">
        <f>E41*F36</f>
        <v>98.641920000000013</v>
      </c>
      <c r="G41" s="189">
        <f t="shared" ref="G41:N41" si="26">F41*G36</f>
        <v>102.58759680000001</v>
      </c>
      <c r="H41" s="189">
        <f t="shared" si="26"/>
        <v>106.69110067200002</v>
      </c>
      <c r="I41" s="189">
        <f t="shared" si="26"/>
        <v>110.95874469888003</v>
      </c>
      <c r="J41" s="189">
        <f t="shared" si="26"/>
        <v>115.39709448683523</v>
      </c>
      <c r="K41" s="189">
        <f t="shared" si="26"/>
        <v>120.01297826630864</v>
      </c>
      <c r="L41" s="189">
        <f t="shared" si="26"/>
        <v>124.81349739696098</v>
      </c>
      <c r="M41" s="189">
        <f t="shared" si="26"/>
        <v>129.80603729283942</v>
      </c>
      <c r="N41" s="190">
        <f t="shared" si="26"/>
        <v>134.99827878455301</v>
      </c>
    </row>
    <row r="42" spans="1:14" ht="36" x14ac:dyDescent="0.25">
      <c r="A42" s="16" t="s">
        <v>499</v>
      </c>
      <c r="B42" s="3" t="s">
        <v>0</v>
      </c>
      <c r="C42" s="17" t="s">
        <v>9</v>
      </c>
      <c r="D42" s="187">
        <f>'Исходные данные'!D69</f>
        <v>144</v>
      </c>
      <c r="E42" s="187">
        <f t="shared" ref="E42:N42" si="27">D42*E36</f>
        <v>149.76</v>
      </c>
      <c r="F42" s="187">
        <f t="shared" si="27"/>
        <v>155.75039999999998</v>
      </c>
      <c r="G42" s="187">
        <f t="shared" si="27"/>
        <v>161.98041599999999</v>
      </c>
      <c r="H42" s="187">
        <f t="shared" si="27"/>
        <v>168.45963264</v>
      </c>
      <c r="I42" s="187">
        <f t="shared" si="27"/>
        <v>175.19801794560001</v>
      </c>
      <c r="J42" s="187">
        <f t="shared" si="27"/>
        <v>182.20593866342401</v>
      </c>
      <c r="K42" s="187">
        <f t="shared" si="27"/>
        <v>189.49417620996098</v>
      </c>
      <c r="L42" s="187">
        <f t="shared" si="27"/>
        <v>197.07394325835944</v>
      </c>
      <c r="M42" s="187">
        <f t="shared" si="27"/>
        <v>204.95690098869383</v>
      </c>
      <c r="N42" s="187">
        <f t="shared" si="27"/>
        <v>213.15517702824158</v>
      </c>
    </row>
    <row r="43" spans="1:14" ht="36" x14ac:dyDescent="0.25">
      <c r="A43" s="16" t="s">
        <v>384</v>
      </c>
      <c r="B43" s="3" t="s">
        <v>0</v>
      </c>
      <c r="C43" s="17" t="s">
        <v>9</v>
      </c>
      <c r="D43" s="109">
        <f>'Исходные данные'!D70</f>
        <v>101.8</v>
      </c>
      <c r="E43" s="109">
        <f>D43</f>
        <v>101.8</v>
      </c>
      <c r="F43" s="109">
        <f t="shared" ref="F43:N45" si="28">E43</f>
        <v>101.8</v>
      </c>
      <c r="G43" s="109">
        <f t="shared" si="28"/>
        <v>101.8</v>
      </c>
      <c r="H43" s="109">
        <f t="shared" si="28"/>
        <v>101.8</v>
      </c>
      <c r="I43" s="109">
        <f t="shared" si="28"/>
        <v>101.8</v>
      </c>
      <c r="J43" s="109">
        <f t="shared" si="28"/>
        <v>101.8</v>
      </c>
      <c r="K43" s="109">
        <f t="shared" si="28"/>
        <v>101.8</v>
      </c>
      <c r="L43" s="109">
        <f t="shared" si="28"/>
        <v>101.8</v>
      </c>
      <c r="M43" s="109">
        <f t="shared" si="28"/>
        <v>101.8</v>
      </c>
      <c r="N43" s="109">
        <f t="shared" si="28"/>
        <v>101.8</v>
      </c>
    </row>
    <row r="44" spans="1:14" x14ac:dyDescent="0.25">
      <c r="A44" s="114" t="s">
        <v>273</v>
      </c>
      <c r="B44" s="3" t="s">
        <v>0</v>
      </c>
      <c r="C44" s="17" t="s">
        <v>9</v>
      </c>
      <c r="D44" s="118">
        <f>'Исходные данные'!D67</f>
        <v>36</v>
      </c>
      <c r="E44" s="21">
        <f>D44</f>
        <v>36</v>
      </c>
      <c r="F44" s="21">
        <f t="shared" si="28"/>
        <v>36</v>
      </c>
      <c r="G44" s="21">
        <f t="shared" si="28"/>
        <v>36</v>
      </c>
      <c r="H44" s="21">
        <f t="shared" si="28"/>
        <v>36</v>
      </c>
      <c r="I44" s="21">
        <f t="shared" si="28"/>
        <v>36</v>
      </c>
      <c r="J44" s="21">
        <f t="shared" si="28"/>
        <v>36</v>
      </c>
      <c r="K44" s="21">
        <f t="shared" si="28"/>
        <v>36</v>
      </c>
      <c r="L44" s="21">
        <f t="shared" si="28"/>
        <v>36</v>
      </c>
      <c r="M44" s="21">
        <f t="shared" si="28"/>
        <v>36</v>
      </c>
      <c r="N44" s="21">
        <f t="shared" si="28"/>
        <v>36</v>
      </c>
    </row>
    <row r="45" spans="1:14" x14ac:dyDescent="0.25">
      <c r="A45" s="114" t="s">
        <v>500</v>
      </c>
      <c r="B45" s="3" t="s">
        <v>0</v>
      </c>
      <c r="C45" s="17" t="s">
        <v>9</v>
      </c>
      <c r="D45" s="118">
        <f>'Исходные данные'!D68</f>
        <v>57.7</v>
      </c>
      <c r="E45" s="21">
        <f>D45</f>
        <v>57.7</v>
      </c>
      <c r="F45" s="21">
        <f t="shared" si="28"/>
        <v>57.7</v>
      </c>
      <c r="G45" s="21">
        <f t="shared" si="28"/>
        <v>57.7</v>
      </c>
      <c r="H45" s="21">
        <f t="shared" si="28"/>
        <v>57.7</v>
      </c>
      <c r="I45" s="21">
        <f t="shared" si="28"/>
        <v>57.7</v>
      </c>
      <c r="J45" s="21">
        <f t="shared" si="28"/>
        <v>57.7</v>
      </c>
      <c r="K45" s="21">
        <f t="shared" si="28"/>
        <v>57.7</v>
      </c>
      <c r="L45" s="21">
        <f t="shared" si="28"/>
        <v>57.7</v>
      </c>
      <c r="M45" s="21">
        <f t="shared" si="28"/>
        <v>57.7</v>
      </c>
      <c r="N45" s="21">
        <f>D45</f>
        <v>57.7</v>
      </c>
    </row>
    <row r="46" spans="1:14" x14ac:dyDescent="0.25">
      <c r="A46" s="16" t="s">
        <v>49</v>
      </c>
      <c r="B46" s="3" t="s">
        <v>0</v>
      </c>
      <c r="C46" s="6" t="s">
        <v>127</v>
      </c>
      <c r="D46" s="23">
        <f>'Исходные данные'!D73</f>
        <v>1.1000000000000001</v>
      </c>
      <c r="E46" s="41">
        <f t="shared" ref="E46:N46" si="29">D46*E32</f>
        <v>1.1440000000000001</v>
      </c>
      <c r="F46" s="41">
        <f t="shared" si="29"/>
        <v>1.1897600000000002</v>
      </c>
      <c r="G46" s="41">
        <f t="shared" si="29"/>
        <v>1.2373504000000002</v>
      </c>
      <c r="H46" s="41">
        <f t="shared" si="29"/>
        <v>1.2868444160000003</v>
      </c>
      <c r="I46" s="41">
        <f t="shared" si="29"/>
        <v>1.3383181926400003</v>
      </c>
      <c r="J46" s="41">
        <f t="shared" si="29"/>
        <v>1.3918509203456004</v>
      </c>
      <c r="K46" s="41">
        <f t="shared" si="29"/>
        <v>1.4475249571594244</v>
      </c>
      <c r="L46" s="41">
        <f t="shared" si="29"/>
        <v>1.5054259554458014</v>
      </c>
      <c r="M46" s="41">
        <f t="shared" si="29"/>
        <v>1.5656429936636336</v>
      </c>
      <c r="N46" s="41">
        <f t="shared" si="29"/>
        <v>1.628268713410179</v>
      </c>
    </row>
    <row r="47" spans="1:14" ht="25.9" customHeight="1" x14ac:dyDescent="0.25">
      <c r="A47" s="339" t="s">
        <v>563</v>
      </c>
      <c r="B47" s="3" t="s">
        <v>0</v>
      </c>
      <c r="C47" s="111" t="s">
        <v>9</v>
      </c>
      <c r="D47" s="6">
        <f>'Исходные данные'!D72</f>
        <v>90</v>
      </c>
      <c r="E47" s="109">
        <f t="shared" ref="E47:N47" si="30">D47*E37</f>
        <v>93.600000000000009</v>
      </c>
      <c r="F47" s="109">
        <f t="shared" si="30"/>
        <v>97.344000000000008</v>
      </c>
      <c r="G47" s="109">
        <f t="shared" si="30"/>
        <v>101.23776000000001</v>
      </c>
      <c r="H47" s="109">
        <f t="shared" si="30"/>
        <v>105.28727040000001</v>
      </c>
      <c r="I47" s="109">
        <f t="shared" si="30"/>
        <v>109.49876121600002</v>
      </c>
      <c r="J47" s="109">
        <f t="shared" si="30"/>
        <v>113.87871166464002</v>
      </c>
      <c r="K47" s="109">
        <f t="shared" si="30"/>
        <v>118.43386013122563</v>
      </c>
      <c r="L47" s="109">
        <f t="shared" si="30"/>
        <v>123.17121453647466</v>
      </c>
      <c r="M47" s="109">
        <f t="shared" si="30"/>
        <v>128.09806311793366</v>
      </c>
      <c r="N47" s="109">
        <f t="shared" si="30"/>
        <v>133.22198564265102</v>
      </c>
    </row>
    <row r="48" spans="1:14" ht="20.25" x14ac:dyDescent="0.3">
      <c r="A48" s="399" t="s">
        <v>116</v>
      </c>
      <c r="B48" s="418"/>
      <c r="C48" s="418"/>
      <c r="D48" s="419"/>
      <c r="E48" s="420"/>
      <c r="F48" s="420"/>
      <c r="G48" s="420"/>
      <c r="H48" s="420"/>
      <c r="I48" s="420"/>
      <c r="J48" s="420"/>
      <c r="K48" s="420"/>
      <c r="L48" s="420"/>
      <c r="M48" s="420"/>
      <c r="N48" s="420"/>
    </row>
    <row r="49" spans="1:14" x14ac:dyDescent="0.25">
      <c r="A49" s="16" t="s">
        <v>501</v>
      </c>
      <c r="B49" s="3" t="s">
        <v>0</v>
      </c>
      <c r="C49" s="112" t="s">
        <v>183</v>
      </c>
      <c r="D49" s="23">
        <f>'Исходные данные'!D76</f>
        <v>2</v>
      </c>
      <c r="E49" s="6">
        <f>D49</f>
        <v>2</v>
      </c>
      <c r="F49" s="109">
        <f t="shared" ref="F49:N49" si="31">E49*F32</f>
        <v>2.08</v>
      </c>
      <c r="G49" s="109">
        <f t="shared" si="31"/>
        <v>2.1632000000000002</v>
      </c>
      <c r="H49" s="109">
        <f t="shared" si="31"/>
        <v>2.2497280000000002</v>
      </c>
      <c r="I49" s="109">
        <f t="shared" si="31"/>
        <v>2.3397171200000004</v>
      </c>
      <c r="J49" s="109">
        <f t="shared" si="31"/>
        <v>2.4333058048000007</v>
      </c>
      <c r="K49" s="109">
        <f t="shared" si="31"/>
        <v>2.5306380369920007</v>
      </c>
      <c r="L49" s="109">
        <f t="shared" si="31"/>
        <v>2.631863558471681</v>
      </c>
      <c r="M49" s="109">
        <f t="shared" si="31"/>
        <v>2.7371381008105482</v>
      </c>
      <c r="N49" s="109">
        <f t="shared" si="31"/>
        <v>2.8466236248429704</v>
      </c>
    </row>
    <row r="50" spans="1:14" x14ac:dyDescent="0.25">
      <c r="A50" s="16" t="s">
        <v>5</v>
      </c>
      <c r="B50" s="3" t="s">
        <v>0</v>
      </c>
      <c r="C50" s="112" t="s">
        <v>9</v>
      </c>
      <c r="D50" s="95">
        <f>'Исходные данные'!D77</f>
        <v>44.5</v>
      </c>
      <c r="E50" s="6">
        <f t="shared" ref="E50:N50" si="32">D50*E38</f>
        <v>46.28</v>
      </c>
      <c r="F50" s="109">
        <f t="shared" si="32"/>
        <v>48.1312</v>
      </c>
      <c r="G50" s="109">
        <f t="shared" si="32"/>
        <v>50.056448000000003</v>
      </c>
      <c r="H50" s="109">
        <f t="shared" si="32"/>
        <v>52.058705920000008</v>
      </c>
      <c r="I50" s="109">
        <f t="shared" si="32"/>
        <v>54.14105415680001</v>
      </c>
      <c r="J50" s="109">
        <f t="shared" si="32"/>
        <v>56.306696323072011</v>
      </c>
      <c r="K50" s="109">
        <f t="shared" si="32"/>
        <v>58.558964175994895</v>
      </c>
      <c r="L50" s="109">
        <f t="shared" si="32"/>
        <v>60.90132274303469</v>
      </c>
      <c r="M50" s="109">
        <f t="shared" si="32"/>
        <v>63.33737565275608</v>
      </c>
      <c r="N50" s="109">
        <f t="shared" si="32"/>
        <v>65.870870678866325</v>
      </c>
    </row>
    <row r="51" spans="1:14" x14ac:dyDescent="0.25">
      <c r="A51" s="16" t="s">
        <v>184</v>
      </c>
      <c r="B51" s="3" t="s">
        <v>0</v>
      </c>
      <c r="C51" s="112" t="s">
        <v>10</v>
      </c>
      <c r="D51" s="96">
        <f>'Исходные данные'!D78</f>
        <v>3</v>
      </c>
      <c r="E51" s="41">
        <f t="shared" ref="E51:N51" si="33">D51*E38</f>
        <v>3.12</v>
      </c>
      <c r="F51" s="41">
        <f t="shared" si="33"/>
        <v>3.2448000000000001</v>
      </c>
      <c r="G51" s="41">
        <f t="shared" si="33"/>
        <v>3.3745920000000003</v>
      </c>
      <c r="H51" s="41">
        <f t="shared" si="33"/>
        <v>3.5095756800000002</v>
      </c>
      <c r="I51" s="41">
        <f t="shared" si="33"/>
        <v>3.6499587072000002</v>
      </c>
      <c r="J51" s="41">
        <f t="shared" si="33"/>
        <v>3.7959570554880004</v>
      </c>
      <c r="K51" s="41">
        <f t="shared" si="33"/>
        <v>3.9477953377075208</v>
      </c>
      <c r="L51" s="41">
        <f t="shared" si="33"/>
        <v>4.1057071512158219</v>
      </c>
      <c r="M51" s="41">
        <f t="shared" si="33"/>
        <v>4.2699354372644551</v>
      </c>
      <c r="N51" s="41">
        <f t="shared" si="33"/>
        <v>4.4407328547550335</v>
      </c>
    </row>
    <row r="52" spans="1:14" x14ac:dyDescent="0.25">
      <c r="A52" s="16" t="s">
        <v>185</v>
      </c>
      <c r="B52" s="3" t="s">
        <v>0</v>
      </c>
      <c r="C52" s="112" t="s">
        <v>10</v>
      </c>
      <c r="D52" s="180">
        <f>'Исходные данные'!D79</f>
        <v>3</v>
      </c>
      <c r="E52" s="109">
        <f t="shared" ref="E52:N52" si="34">D52*E38</f>
        <v>3.12</v>
      </c>
      <c r="F52" s="109">
        <f t="shared" si="34"/>
        <v>3.2448000000000001</v>
      </c>
      <c r="G52" s="109">
        <f t="shared" si="34"/>
        <v>3.3745920000000003</v>
      </c>
      <c r="H52" s="109">
        <f t="shared" si="34"/>
        <v>3.5095756800000002</v>
      </c>
      <c r="I52" s="109">
        <f t="shared" si="34"/>
        <v>3.6499587072000002</v>
      </c>
      <c r="J52" s="109">
        <f t="shared" si="34"/>
        <v>3.7959570554880004</v>
      </c>
      <c r="K52" s="109">
        <f t="shared" si="34"/>
        <v>3.9477953377075208</v>
      </c>
      <c r="L52" s="109">
        <f t="shared" si="34"/>
        <v>4.1057071512158219</v>
      </c>
      <c r="M52" s="109">
        <f t="shared" si="34"/>
        <v>4.2699354372644551</v>
      </c>
      <c r="N52" s="109">
        <f t="shared" si="34"/>
        <v>4.4407328547550335</v>
      </c>
    </row>
    <row r="53" spans="1:14" s="24" customFormat="1" x14ac:dyDescent="0.25">
      <c r="A53" s="22" t="s">
        <v>495</v>
      </c>
      <c r="B53" s="3" t="s">
        <v>0</v>
      </c>
      <c r="C53" s="113" t="s">
        <v>10</v>
      </c>
      <c r="D53" s="118">
        <f>'Исходные данные'!D80</f>
        <v>2</v>
      </c>
      <c r="E53" s="118">
        <f t="shared" ref="E53:N53" si="35">D53*E38</f>
        <v>2.08</v>
      </c>
      <c r="F53" s="118">
        <f t="shared" si="35"/>
        <v>2.1632000000000002</v>
      </c>
      <c r="G53" s="118">
        <f t="shared" si="35"/>
        <v>2.2497280000000002</v>
      </c>
      <c r="H53" s="118">
        <f t="shared" si="35"/>
        <v>2.3397171200000004</v>
      </c>
      <c r="I53" s="118">
        <f t="shared" si="35"/>
        <v>2.4333058048000007</v>
      </c>
      <c r="J53" s="118">
        <f t="shared" si="35"/>
        <v>2.5306380369920007</v>
      </c>
      <c r="K53" s="118">
        <f t="shared" si="35"/>
        <v>2.631863558471681</v>
      </c>
      <c r="L53" s="118">
        <f t="shared" si="35"/>
        <v>2.7371381008105482</v>
      </c>
      <c r="M53" s="118">
        <f t="shared" si="35"/>
        <v>2.8466236248429704</v>
      </c>
      <c r="N53" s="118">
        <f t="shared" si="35"/>
        <v>2.9604885698366892</v>
      </c>
    </row>
    <row r="54" spans="1:14" s="24" customFormat="1" ht="36" x14ac:dyDescent="0.25">
      <c r="A54" s="170" t="s">
        <v>565</v>
      </c>
      <c r="B54" s="3" t="s">
        <v>0</v>
      </c>
      <c r="C54" s="113" t="s">
        <v>10</v>
      </c>
      <c r="D54" s="118">
        <f>'Исходные данные'!D81</f>
        <v>7</v>
      </c>
      <c r="E54" s="118">
        <f t="shared" ref="E54:N54" si="36">D54*E38</f>
        <v>7.28</v>
      </c>
      <c r="F54" s="118">
        <f t="shared" si="36"/>
        <v>7.5712000000000002</v>
      </c>
      <c r="G54" s="118">
        <f t="shared" si="36"/>
        <v>7.8740480000000002</v>
      </c>
      <c r="H54" s="118">
        <f t="shared" si="36"/>
        <v>8.1890099200000002</v>
      </c>
      <c r="I54" s="118">
        <f t="shared" si="36"/>
        <v>8.5165703168000011</v>
      </c>
      <c r="J54" s="118">
        <f t="shared" si="36"/>
        <v>8.8572331294720019</v>
      </c>
      <c r="K54" s="118">
        <f t="shared" si="36"/>
        <v>9.2115224546508827</v>
      </c>
      <c r="L54" s="118">
        <f t="shared" si="36"/>
        <v>9.5799833528369192</v>
      </c>
      <c r="M54" s="118">
        <f t="shared" si="36"/>
        <v>9.9631826869503968</v>
      </c>
      <c r="N54" s="118">
        <f t="shared" si="36"/>
        <v>10.361709994428413</v>
      </c>
    </row>
    <row r="55" spans="1:14" s="115" customFormat="1" ht="36" x14ac:dyDescent="0.25">
      <c r="A55" s="170" t="s">
        <v>421</v>
      </c>
      <c r="B55" s="3" t="s">
        <v>0</v>
      </c>
      <c r="C55" s="113" t="s">
        <v>10</v>
      </c>
      <c r="D55" s="118">
        <f>'Исходные данные'!D82</f>
        <v>3.5</v>
      </c>
      <c r="E55" s="118">
        <f t="shared" ref="E55:N55" si="37">D55*E38</f>
        <v>3.64</v>
      </c>
      <c r="F55" s="118">
        <f t="shared" si="37"/>
        <v>3.7856000000000001</v>
      </c>
      <c r="G55" s="118">
        <f t="shared" si="37"/>
        <v>3.9370240000000001</v>
      </c>
      <c r="H55" s="118">
        <f t="shared" si="37"/>
        <v>4.0945049600000001</v>
      </c>
      <c r="I55" s="118">
        <f t="shared" si="37"/>
        <v>4.2582851584000005</v>
      </c>
      <c r="J55" s="118">
        <f t="shared" si="37"/>
        <v>4.428616564736001</v>
      </c>
      <c r="K55" s="118">
        <f t="shared" si="37"/>
        <v>4.6057612273254414</v>
      </c>
      <c r="L55" s="118">
        <f t="shared" si="37"/>
        <v>4.7899916764184596</v>
      </c>
      <c r="M55" s="118">
        <f t="shared" si="37"/>
        <v>4.9815913434751984</v>
      </c>
      <c r="N55" s="118">
        <f t="shared" si="37"/>
        <v>5.1808549972142064</v>
      </c>
    </row>
    <row r="56" spans="1:14" s="115" customFormat="1" ht="36" x14ac:dyDescent="0.25">
      <c r="A56" s="170" t="s">
        <v>377</v>
      </c>
      <c r="B56" s="3" t="s">
        <v>0</v>
      </c>
      <c r="C56" s="113" t="s">
        <v>10</v>
      </c>
      <c r="D56" s="118">
        <f>'Исходные данные'!D83</f>
        <v>10</v>
      </c>
      <c r="E56" s="118">
        <f>D56*E38</f>
        <v>10.4</v>
      </c>
      <c r="F56" s="118">
        <f t="shared" ref="F56:N56" si="38">E56*F38</f>
        <v>10.816000000000001</v>
      </c>
      <c r="G56" s="118">
        <f t="shared" si="38"/>
        <v>11.248640000000002</v>
      </c>
      <c r="H56" s="118">
        <f t="shared" si="38"/>
        <v>11.698585600000003</v>
      </c>
      <c r="I56" s="118">
        <f t="shared" si="38"/>
        <v>12.166529024000004</v>
      </c>
      <c r="J56" s="118">
        <f t="shared" si="38"/>
        <v>12.653190184960005</v>
      </c>
      <c r="K56" s="118">
        <f t="shared" si="38"/>
        <v>13.159317792358406</v>
      </c>
      <c r="L56" s="118">
        <f t="shared" si="38"/>
        <v>13.685690504052744</v>
      </c>
      <c r="M56" s="118">
        <f t="shared" si="38"/>
        <v>14.233118124214855</v>
      </c>
      <c r="N56" s="118">
        <f t="shared" si="38"/>
        <v>14.80244284918345</v>
      </c>
    </row>
    <row r="57" spans="1:14" x14ac:dyDescent="0.25">
      <c r="A57" s="16" t="s">
        <v>71</v>
      </c>
      <c r="B57" s="3" t="s">
        <v>0</v>
      </c>
      <c r="C57" s="112" t="s">
        <v>11</v>
      </c>
      <c r="D57" s="95">
        <f>'Исходные данные'!D85</f>
        <v>250</v>
      </c>
      <c r="E57" s="109">
        <f t="shared" ref="E57:N57" si="39">D57*E32</f>
        <v>260</v>
      </c>
      <c r="F57" s="109">
        <f t="shared" si="39"/>
        <v>270.40000000000003</v>
      </c>
      <c r="G57" s="109">
        <f t="shared" si="39"/>
        <v>281.21600000000007</v>
      </c>
      <c r="H57" s="109">
        <f t="shared" si="39"/>
        <v>292.46464000000009</v>
      </c>
      <c r="I57" s="109">
        <f t="shared" si="39"/>
        <v>304.16322560000009</v>
      </c>
      <c r="J57" s="109">
        <f t="shared" si="39"/>
        <v>316.32975462400009</v>
      </c>
      <c r="K57" s="109">
        <f t="shared" si="39"/>
        <v>328.9829448089601</v>
      </c>
      <c r="L57" s="109">
        <f t="shared" si="39"/>
        <v>342.14226260131852</v>
      </c>
      <c r="M57" s="109">
        <f t="shared" si="39"/>
        <v>355.82795310537125</v>
      </c>
      <c r="N57" s="109">
        <f t="shared" si="39"/>
        <v>370.0610712295861</v>
      </c>
    </row>
    <row r="58" spans="1:14" x14ac:dyDescent="0.25">
      <c r="A58" s="16" t="s">
        <v>6</v>
      </c>
      <c r="B58" s="3" t="s">
        <v>0</v>
      </c>
      <c r="C58" s="112" t="s">
        <v>9</v>
      </c>
      <c r="D58" s="95">
        <f>'Исходные данные'!D86</f>
        <v>2</v>
      </c>
      <c r="E58" s="109">
        <f t="shared" ref="E58:N58" si="40">D58*E32</f>
        <v>2.08</v>
      </c>
      <c r="F58" s="109">
        <f t="shared" si="40"/>
        <v>2.1632000000000002</v>
      </c>
      <c r="G58" s="109">
        <f t="shared" si="40"/>
        <v>2.2497280000000002</v>
      </c>
      <c r="H58" s="109">
        <f t="shared" si="40"/>
        <v>2.3397171200000004</v>
      </c>
      <c r="I58" s="109">
        <f t="shared" si="40"/>
        <v>2.4333058048000007</v>
      </c>
      <c r="J58" s="109">
        <f t="shared" si="40"/>
        <v>2.5306380369920007</v>
      </c>
      <c r="K58" s="109">
        <f t="shared" si="40"/>
        <v>2.631863558471681</v>
      </c>
      <c r="L58" s="109">
        <f t="shared" si="40"/>
        <v>2.7371381008105482</v>
      </c>
      <c r="M58" s="109">
        <f t="shared" si="40"/>
        <v>2.8466236248429704</v>
      </c>
      <c r="N58" s="109">
        <f t="shared" si="40"/>
        <v>2.9604885698366892</v>
      </c>
    </row>
    <row r="59" spans="1:14" x14ac:dyDescent="0.25">
      <c r="A59" s="14" t="s">
        <v>249</v>
      </c>
      <c r="B59" s="3" t="s">
        <v>0</v>
      </c>
      <c r="C59" s="111" t="s">
        <v>9</v>
      </c>
      <c r="D59" s="23">
        <f>'Исходные данные'!D84</f>
        <v>63.8</v>
      </c>
      <c r="E59" s="41">
        <f t="shared" ref="E59:N59" si="41">D59*E37</f>
        <v>66.352000000000004</v>
      </c>
      <c r="F59" s="41">
        <f t="shared" si="41"/>
        <v>69.006080000000011</v>
      </c>
      <c r="G59" s="41">
        <f t="shared" si="41"/>
        <v>71.766323200000016</v>
      </c>
      <c r="H59" s="41">
        <f t="shared" si="41"/>
        <v>74.636976128000015</v>
      </c>
      <c r="I59" s="41">
        <f t="shared" si="41"/>
        <v>77.622455173120017</v>
      </c>
      <c r="J59" s="41">
        <f t="shared" si="41"/>
        <v>80.727353380044818</v>
      </c>
      <c r="K59" s="41">
        <f t="shared" si="41"/>
        <v>83.956447515246609</v>
      </c>
      <c r="L59" s="41">
        <f t="shared" si="41"/>
        <v>87.31470541585648</v>
      </c>
      <c r="M59" s="41">
        <f t="shared" si="41"/>
        <v>90.80729363249074</v>
      </c>
      <c r="N59" s="41">
        <f t="shared" si="41"/>
        <v>94.43958537779038</v>
      </c>
    </row>
    <row r="60" spans="1:14" x14ac:dyDescent="0.25">
      <c r="A60" s="16" t="s">
        <v>7</v>
      </c>
      <c r="B60" s="3" t="s">
        <v>0</v>
      </c>
      <c r="C60" s="112" t="s">
        <v>237</v>
      </c>
      <c r="D60" s="95">
        <f>'Исходные данные'!D87</f>
        <v>1.5</v>
      </c>
      <c r="E60" s="109">
        <f t="shared" ref="E60:N60" si="42">D60*E38</f>
        <v>1.56</v>
      </c>
      <c r="F60" s="109">
        <f t="shared" si="42"/>
        <v>1.6224000000000001</v>
      </c>
      <c r="G60" s="109">
        <f t="shared" si="42"/>
        <v>1.6872960000000001</v>
      </c>
      <c r="H60" s="109">
        <f t="shared" si="42"/>
        <v>1.7547878400000001</v>
      </c>
      <c r="I60" s="109">
        <f t="shared" si="42"/>
        <v>1.8249793536000001</v>
      </c>
      <c r="J60" s="109">
        <f t="shared" si="42"/>
        <v>1.8979785277440002</v>
      </c>
      <c r="K60" s="109">
        <f t="shared" si="42"/>
        <v>1.9738976688537604</v>
      </c>
      <c r="L60" s="109">
        <f t="shared" si="42"/>
        <v>2.0528535756079109</v>
      </c>
      <c r="M60" s="109">
        <f t="shared" si="42"/>
        <v>2.1349677186322276</v>
      </c>
      <c r="N60" s="109">
        <f t="shared" si="42"/>
        <v>2.2203664273775168</v>
      </c>
    </row>
    <row r="61" spans="1:14" ht="20.25" x14ac:dyDescent="0.3">
      <c r="A61" s="396" t="s">
        <v>468</v>
      </c>
      <c r="B61" s="397"/>
      <c r="C61" s="398"/>
      <c r="D61" s="398"/>
      <c r="E61" s="375"/>
      <c r="F61" s="397"/>
      <c r="G61" s="397"/>
      <c r="H61" s="397"/>
      <c r="I61" s="397"/>
      <c r="J61" s="397"/>
      <c r="K61" s="397"/>
      <c r="L61" s="397"/>
      <c r="M61" s="397"/>
      <c r="N61" s="397"/>
    </row>
    <row r="62" spans="1:14" ht="198" x14ac:dyDescent="0.25">
      <c r="A62" s="105" t="s">
        <v>568</v>
      </c>
      <c r="B62" s="104" t="s">
        <v>507</v>
      </c>
      <c r="C62" s="110" t="s">
        <v>517</v>
      </c>
      <c r="D62" s="106">
        <v>0.1</v>
      </c>
      <c r="E62" s="4"/>
      <c r="F62" s="3"/>
      <c r="G62" s="3"/>
      <c r="H62" s="3"/>
      <c r="I62" s="3"/>
      <c r="J62" s="3"/>
      <c r="K62" s="3"/>
      <c r="L62" s="3"/>
      <c r="M62" s="3"/>
      <c r="N62" s="3"/>
    </row>
    <row r="63" spans="1:14" ht="198" x14ac:dyDescent="0.25">
      <c r="A63" s="105" t="s">
        <v>569</v>
      </c>
      <c r="B63" s="104" t="s">
        <v>507</v>
      </c>
      <c r="C63" s="110" t="s">
        <v>517</v>
      </c>
      <c r="D63" s="106">
        <v>0.7</v>
      </c>
      <c r="E63" s="4"/>
      <c r="F63" s="3"/>
      <c r="G63" s="3"/>
      <c r="H63" s="3"/>
      <c r="I63" s="3"/>
      <c r="J63" s="3"/>
      <c r="K63" s="3"/>
      <c r="L63" s="3"/>
      <c r="M63" s="3"/>
      <c r="N63" s="3"/>
    </row>
    <row r="64" spans="1:14" ht="198" x14ac:dyDescent="0.25">
      <c r="A64" s="105" t="s">
        <v>516</v>
      </c>
      <c r="B64" s="104" t="s">
        <v>507</v>
      </c>
      <c r="C64" s="110" t="s">
        <v>517</v>
      </c>
      <c r="D64" s="106">
        <f>100%-D62-D63</f>
        <v>0.20000000000000007</v>
      </c>
      <c r="E64" s="4"/>
      <c r="F64" s="3"/>
      <c r="G64" s="3"/>
      <c r="H64" s="3"/>
      <c r="I64" s="3"/>
      <c r="J64" s="3"/>
      <c r="K64" s="3"/>
      <c r="L64" s="3"/>
      <c r="M64" s="3"/>
      <c r="N64" s="3"/>
    </row>
    <row r="65" spans="1:14" s="24" customFormat="1" ht="54" x14ac:dyDescent="0.25">
      <c r="A65" s="107" t="s">
        <v>566</v>
      </c>
      <c r="B65" s="3" t="s">
        <v>253</v>
      </c>
      <c r="C65" s="11" t="s">
        <v>247</v>
      </c>
      <c r="D65" s="340">
        <f>SUM(D66,D70,D72,D71)</f>
        <v>2.16</v>
      </c>
      <c r="E65" s="116">
        <f>SUM(E66,E70,E72,E71)</f>
        <v>0.8</v>
      </c>
      <c r="F65" s="116">
        <f>SUM(F66,F70,F72,F71)</f>
        <v>0</v>
      </c>
      <c r="G65" s="116">
        <f t="shared" ref="G65:N65" si="43">SUM(G66,G70,G72,G71)</f>
        <v>0</v>
      </c>
      <c r="H65" s="116">
        <f t="shared" si="43"/>
        <v>1.3599999999999999</v>
      </c>
      <c r="I65" s="116">
        <f t="shared" si="43"/>
        <v>0</v>
      </c>
      <c r="J65" s="116">
        <f t="shared" si="43"/>
        <v>0</v>
      </c>
      <c r="K65" s="116">
        <f t="shared" si="43"/>
        <v>0</v>
      </c>
      <c r="L65" s="116">
        <f t="shared" si="43"/>
        <v>0</v>
      </c>
      <c r="M65" s="116">
        <f t="shared" si="43"/>
        <v>0</v>
      </c>
      <c r="N65" s="116">
        <f t="shared" si="43"/>
        <v>0</v>
      </c>
    </row>
    <row r="66" spans="1:14" s="24" customFormat="1" ht="54" x14ac:dyDescent="0.25">
      <c r="A66" s="108" t="str">
        <f>'Базовые параметры'!A9</f>
        <v>Предоставление собственнику жилого помещения другого жилого помещения (в собственность переселяемого гражданина)</v>
      </c>
      <c r="B66" s="3" t="s">
        <v>253</v>
      </c>
      <c r="C66" s="11" t="s">
        <v>247</v>
      </c>
      <c r="D66" s="50">
        <f>SUM(D67:D69)</f>
        <v>0.24</v>
      </c>
      <c r="E66" s="23">
        <f>SUM(E67:E69)</f>
        <v>0</v>
      </c>
      <c r="F66" s="23">
        <f t="shared" ref="F66:N66" si="44">SUM(F67:F69)</f>
        <v>0</v>
      </c>
      <c r="G66" s="23">
        <f t="shared" si="44"/>
        <v>0</v>
      </c>
      <c r="H66" s="23">
        <f t="shared" si="44"/>
        <v>0.24</v>
      </c>
      <c r="I66" s="23">
        <f>SUM(I67:I69)</f>
        <v>0</v>
      </c>
      <c r="J66" s="23">
        <f t="shared" si="44"/>
        <v>0</v>
      </c>
      <c r="K66" s="23">
        <f t="shared" si="44"/>
        <v>0</v>
      </c>
      <c r="L66" s="23">
        <f t="shared" si="44"/>
        <v>0</v>
      </c>
      <c r="M66" s="23">
        <f t="shared" si="44"/>
        <v>0</v>
      </c>
      <c r="N66" s="23">
        <f t="shared" si="44"/>
        <v>0</v>
      </c>
    </row>
    <row r="67" spans="1:14" s="24" customFormat="1" ht="54" x14ac:dyDescent="0.25">
      <c r="A67" s="108" t="s">
        <v>567</v>
      </c>
      <c r="B67" s="3" t="s">
        <v>253</v>
      </c>
      <c r="C67" s="11" t="s">
        <v>247</v>
      </c>
      <c r="D67" s="11">
        <f>'Калькулятор чувствительности'!D59*'Исходные данные'!$D$14*D62</f>
        <v>0.24</v>
      </c>
      <c r="E67" s="23">
        <v>0</v>
      </c>
      <c r="F67" s="23">
        <v>0</v>
      </c>
      <c r="G67" s="11">
        <v>0</v>
      </c>
      <c r="H67" s="23">
        <f>D67</f>
        <v>0.24</v>
      </c>
      <c r="I67" s="11">
        <v>0</v>
      </c>
      <c r="J67" s="11">
        <v>0</v>
      </c>
      <c r="K67" s="11">
        <v>0</v>
      </c>
      <c r="L67" s="11">
        <v>0</v>
      </c>
      <c r="M67" s="11">
        <v>0</v>
      </c>
      <c r="N67" s="11">
        <v>0</v>
      </c>
    </row>
    <row r="68" spans="1:14" s="24" customFormat="1" ht="54" x14ac:dyDescent="0.25">
      <c r="A68" s="108" t="s">
        <v>570</v>
      </c>
      <c r="B68" s="3" t="s">
        <v>253</v>
      </c>
      <c r="C68" s="11" t="s">
        <v>247</v>
      </c>
      <c r="D68" s="11">
        <f>'Калькулятор чувствительности'!D60*'Исходные данные'!$D$14*D63</f>
        <v>0</v>
      </c>
      <c r="E68" s="11">
        <f>D68</f>
        <v>0</v>
      </c>
      <c r="F68" s="181">
        <v>0</v>
      </c>
      <c r="G68" s="181">
        <v>0</v>
      </c>
      <c r="H68" s="181">
        <v>0</v>
      </c>
      <c r="I68" s="181">
        <v>0</v>
      </c>
      <c r="J68" s="181">
        <v>0</v>
      </c>
      <c r="K68" s="181">
        <v>0</v>
      </c>
      <c r="L68" s="181">
        <v>0</v>
      </c>
      <c r="M68" s="181">
        <v>0</v>
      </c>
      <c r="N68" s="181">
        <v>0</v>
      </c>
    </row>
    <row r="69" spans="1:14" s="24" customFormat="1" ht="54" x14ac:dyDescent="0.25">
      <c r="A69" s="108" t="s">
        <v>263</v>
      </c>
      <c r="B69" s="3" t="s">
        <v>253</v>
      </c>
      <c r="C69" s="11" t="s">
        <v>247</v>
      </c>
      <c r="D69" s="116">
        <f>'Калькулятор чувствительности'!D61*'Исходные данные'!$D$14*D64</f>
        <v>0</v>
      </c>
      <c r="E69" s="116">
        <f>D69</f>
        <v>0</v>
      </c>
      <c r="F69" s="181">
        <v>0</v>
      </c>
      <c r="G69" s="181">
        <v>0</v>
      </c>
      <c r="H69" s="181">
        <v>0</v>
      </c>
      <c r="I69" s="181">
        <v>0</v>
      </c>
      <c r="J69" s="181">
        <v>0</v>
      </c>
      <c r="K69" s="181">
        <v>0</v>
      </c>
      <c r="L69" s="181">
        <v>0</v>
      </c>
      <c r="M69" s="181">
        <v>0</v>
      </c>
      <c r="N69" s="181">
        <v>0</v>
      </c>
    </row>
    <row r="70" spans="1:14" s="24" customFormat="1" ht="54" x14ac:dyDescent="0.25">
      <c r="A70" s="108" t="str">
        <f>'Базовые параметры'!A10</f>
        <v>Предоставление нанимателям жилых помещений другого жилого помещения по договору найма жилого помещения в жилищном фонде социального использования (договор некоммерческого найма)</v>
      </c>
      <c r="B70" s="3" t="s">
        <v>253</v>
      </c>
      <c r="C70" s="11" t="s">
        <v>247</v>
      </c>
      <c r="D70" s="11">
        <f>'Калькулятор чувствительности'!D63*'Исходные данные'!D14*'Калькулятор чувствительности'!D50</f>
        <v>1.1199999999999999</v>
      </c>
      <c r="E70" s="116">
        <v>0</v>
      </c>
      <c r="F70" s="116">
        <v>0</v>
      </c>
      <c r="G70" s="23">
        <v>0</v>
      </c>
      <c r="H70" s="23">
        <f>D70</f>
        <v>1.1199999999999999</v>
      </c>
      <c r="I70" s="23">
        <v>0</v>
      </c>
      <c r="J70" s="23">
        <v>0</v>
      </c>
      <c r="K70" s="23">
        <v>0</v>
      </c>
      <c r="L70" s="23">
        <v>0</v>
      </c>
      <c r="M70" s="23">
        <v>0</v>
      </c>
      <c r="N70" s="23">
        <v>0</v>
      </c>
    </row>
    <row r="71" spans="1:14" s="24" customFormat="1" ht="54" x14ac:dyDescent="0.25">
      <c r="A71" s="108" t="str">
        <f>'Базовые параметры'!A11</f>
        <v xml:space="preserve">Предоставление нанимателям жилых помещений другого жилого помещения по договору социального найма </v>
      </c>
      <c r="B71" s="3" t="s">
        <v>253</v>
      </c>
      <c r="C71" s="11" t="s">
        <v>247</v>
      </c>
      <c r="D71" s="11">
        <f>'Калькулятор чувствительности'!D64*'Исходные данные'!D14</f>
        <v>0</v>
      </c>
      <c r="E71" s="116">
        <v>0</v>
      </c>
      <c r="F71" s="116">
        <v>0</v>
      </c>
      <c r="G71" s="116">
        <v>0</v>
      </c>
      <c r="H71" s="116">
        <f>D71</f>
        <v>0</v>
      </c>
      <c r="I71" s="23">
        <v>0</v>
      </c>
      <c r="J71" s="23">
        <v>0</v>
      </c>
      <c r="K71" s="23">
        <v>0</v>
      </c>
      <c r="L71" s="23">
        <v>0</v>
      </c>
      <c r="M71" s="23">
        <v>0</v>
      </c>
      <c r="N71" s="23">
        <v>0</v>
      </c>
    </row>
    <row r="72" spans="1:14" s="24" customFormat="1" ht="54" x14ac:dyDescent="0.25">
      <c r="A72" s="108" t="str">
        <f>'Базовые параметры'!A12</f>
        <v>Выплата собственникам жилых помещений возмещения за изымаемое жилое помещение в размере рыночной стоимости жилого помещения (ч. 7 ст. 32 ЖК РФ)</v>
      </c>
      <c r="B72" s="3" t="s">
        <v>253</v>
      </c>
      <c r="C72" s="11" t="s">
        <v>247</v>
      </c>
      <c r="D72" s="11">
        <f>'Калькулятор чувствительности'!D65*'Исходные данные'!D14</f>
        <v>0.8</v>
      </c>
      <c r="E72" s="116">
        <f>D72</f>
        <v>0.8</v>
      </c>
      <c r="F72" s="116">
        <v>0</v>
      </c>
      <c r="G72" s="116">
        <v>0</v>
      </c>
      <c r="H72" s="116">
        <v>0</v>
      </c>
      <c r="I72" s="116">
        <v>0</v>
      </c>
      <c r="J72" s="116">
        <v>0</v>
      </c>
      <c r="K72" s="116">
        <v>0</v>
      </c>
      <c r="L72" s="116">
        <v>0</v>
      </c>
      <c r="M72" s="116">
        <v>0</v>
      </c>
      <c r="N72" s="116">
        <v>0</v>
      </c>
    </row>
    <row r="73" spans="1:14" s="24" customFormat="1" ht="54" x14ac:dyDescent="0.25">
      <c r="A73" s="108" t="str">
        <f>'Базовые параметры'!A13</f>
        <v>Предоставление субсидии на приобретение, строительство жилого помещения, оплату процентов по ипотеке (если у гражданина отсутствует иное пригодное для проживания жилое помещение)</v>
      </c>
      <c r="B73" s="3" t="s">
        <v>253</v>
      </c>
      <c r="C73" s="11" t="s">
        <v>247</v>
      </c>
      <c r="D73" s="11">
        <f>'Калькулятор чувствительности'!D66*'Исходные данные'!D14</f>
        <v>0.8</v>
      </c>
      <c r="E73" s="116">
        <f>D73</f>
        <v>0.8</v>
      </c>
      <c r="F73" s="116">
        <v>0</v>
      </c>
      <c r="G73" s="116">
        <v>0</v>
      </c>
      <c r="H73" s="116">
        <f>D73</f>
        <v>0.8</v>
      </c>
      <c r="I73" s="116">
        <v>0</v>
      </c>
      <c r="J73" s="116">
        <v>0</v>
      </c>
      <c r="K73" s="116">
        <v>0</v>
      </c>
      <c r="L73" s="116">
        <v>0</v>
      </c>
      <c r="M73" s="116">
        <v>0</v>
      </c>
      <c r="N73" s="116">
        <v>0</v>
      </c>
    </row>
    <row r="74" spans="1:14" s="24" customFormat="1" ht="54" x14ac:dyDescent="0.25">
      <c r="A74" s="107" t="s">
        <v>496</v>
      </c>
      <c r="B74" s="3" t="s">
        <v>253</v>
      </c>
      <c r="C74" s="11" t="s">
        <v>247</v>
      </c>
      <c r="D74" s="11">
        <f>SUM(D75,D79,D83,D84,D85,D86)</f>
        <v>5.12</v>
      </c>
      <c r="E74" s="11">
        <f t="shared" ref="E74:N74" si="45">SUM(E75,E79,E83,E84,E85,E86)</f>
        <v>4.3279999999999994</v>
      </c>
      <c r="F74" s="11">
        <f t="shared" si="45"/>
        <v>0</v>
      </c>
      <c r="G74" s="11">
        <f t="shared" si="45"/>
        <v>0</v>
      </c>
      <c r="H74" s="11">
        <f t="shared" si="45"/>
        <v>0.79199999999999993</v>
      </c>
      <c r="I74" s="11">
        <f t="shared" si="45"/>
        <v>0</v>
      </c>
      <c r="J74" s="11">
        <f t="shared" si="45"/>
        <v>0</v>
      </c>
      <c r="K74" s="11">
        <f t="shared" si="45"/>
        <v>0</v>
      </c>
      <c r="L74" s="11">
        <f t="shared" si="45"/>
        <v>0</v>
      </c>
      <c r="M74" s="116">
        <f>SUM(M75,M79,M83,M84,M85,M86)</f>
        <v>0</v>
      </c>
      <c r="N74" s="11">
        <f t="shared" si="45"/>
        <v>0</v>
      </c>
    </row>
    <row r="75" spans="1:14" s="24" customFormat="1" ht="37.9" customHeight="1" x14ac:dyDescent="0.25">
      <c r="A75" s="108" t="str">
        <f>'Базовые параметры'!A15</f>
        <v>Предоставление собственникам жилого помещения другого равнозначного жилого помещения (если предусмотрено предоставление равнозначного жилого помещения)</v>
      </c>
      <c r="B75" s="3" t="s">
        <v>253</v>
      </c>
      <c r="C75" s="11" t="s">
        <v>247</v>
      </c>
      <c r="D75" s="11">
        <f>SUM(D76:D78)</f>
        <v>3.9199999999999995</v>
      </c>
      <c r="E75" s="19">
        <f>SUM(E76:E78)</f>
        <v>3.5279999999999996</v>
      </c>
      <c r="F75" s="19">
        <f t="shared" ref="F75:N75" si="46">SUM(F76:F78)</f>
        <v>0</v>
      </c>
      <c r="G75" s="19">
        <f t="shared" si="46"/>
        <v>0</v>
      </c>
      <c r="H75" s="19">
        <f t="shared" si="46"/>
        <v>0.39199999999999996</v>
      </c>
      <c r="I75" s="19">
        <f t="shared" si="46"/>
        <v>0</v>
      </c>
      <c r="J75" s="19">
        <f t="shared" si="46"/>
        <v>0</v>
      </c>
      <c r="K75" s="19">
        <f t="shared" si="46"/>
        <v>0</v>
      </c>
      <c r="L75" s="19">
        <f t="shared" si="46"/>
        <v>0</v>
      </c>
      <c r="M75" s="19">
        <f t="shared" si="46"/>
        <v>0</v>
      </c>
      <c r="N75" s="19">
        <f t="shared" si="46"/>
        <v>0</v>
      </c>
    </row>
    <row r="76" spans="1:14" s="24" customFormat="1" ht="54" x14ac:dyDescent="0.25">
      <c r="A76" s="108" t="s">
        <v>567</v>
      </c>
      <c r="B76" s="3" t="s">
        <v>253</v>
      </c>
      <c r="C76" s="11" t="s">
        <v>247</v>
      </c>
      <c r="D76" s="11">
        <f>D62*'Базовые параметры'!D15*'Исходные данные'!D14*'Калькулятор чувствительности'!D50</f>
        <v>0.39199999999999996</v>
      </c>
      <c r="E76" s="19">
        <v>0</v>
      </c>
      <c r="F76" s="19">
        <v>0</v>
      </c>
      <c r="G76" s="19">
        <v>0</v>
      </c>
      <c r="H76" s="19">
        <f>D76</f>
        <v>0.39199999999999996</v>
      </c>
      <c r="I76" s="23">
        <v>0</v>
      </c>
      <c r="J76" s="10">
        <v>0</v>
      </c>
      <c r="K76" s="10"/>
      <c r="L76" s="10"/>
      <c r="M76" s="10"/>
      <c r="N76" s="10"/>
    </row>
    <row r="77" spans="1:14" s="24" customFormat="1" ht="54" x14ac:dyDescent="0.25">
      <c r="A77" s="108" t="s">
        <v>570</v>
      </c>
      <c r="B77" s="3" t="s">
        <v>253</v>
      </c>
      <c r="C77" s="11" t="s">
        <v>247</v>
      </c>
      <c r="D77" s="11">
        <f>D63*'Базовые параметры'!D15*'Исходные данные'!D14*'Калькулятор чувствительности'!D50</f>
        <v>2.7439999999999993</v>
      </c>
      <c r="E77" s="19">
        <f>D77</f>
        <v>2.7439999999999993</v>
      </c>
      <c r="F77" s="23">
        <v>0</v>
      </c>
      <c r="G77" s="23">
        <v>0</v>
      </c>
      <c r="H77" s="23">
        <v>0</v>
      </c>
      <c r="I77" s="23">
        <v>0</v>
      </c>
      <c r="J77" s="23">
        <v>0</v>
      </c>
      <c r="K77" s="23">
        <v>0</v>
      </c>
      <c r="L77" s="23">
        <v>0</v>
      </c>
      <c r="M77" s="23">
        <v>0</v>
      </c>
      <c r="N77" s="23">
        <v>0</v>
      </c>
    </row>
    <row r="78" spans="1:14" s="24" customFormat="1" ht="54" x14ac:dyDescent="0.25">
      <c r="A78" s="108" t="s">
        <v>263</v>
      </c>
      <c r="B78" s="3" t="s">
        <v>253</v>
      </c>
      <c r="C78" s="11" t="s">
        <v>247</v>
      </c>
      <c r="D78" s="11">
        <f>D64*'Базовые параметры'!D15*'Исходные данные'!D14*'Калькулятор чувствительности'!D50</f>
        <v>0.78400000000000014</v>
      </c>
      <c r="E78" s="19">
        <f>D78</f>
        <v>0.78400000000000014</v>
      </c>
      <c r="F78" s="23">
        <v>0</v>
      </c>
      <c r="G78" s="23">
        <v>0</v>
      </c>
      <c r="H78" s="23">
        <v>0</v>
      </c>
      <c r="I78" s="23">
        <v>0</v>
      </c>
      <c r="J78" s="23">
        <v>0</v>
      </c>
      <c r="K78" s="23">
        <v>0</v>
      </c>
      <c r="L78" s="23">
        <v>0</v>
      </c>
      <c r="M78" s="23">
        <v>0</v>
      </c>
      <c r="N78" s="23">
        <v>0</v>
      </c>
    </row>
    <row r="79" spans="1:14" s="24" customFormat="1" ht="54" x14ac:dyDescent="0.25">
      <c r="A79" s="108" t="str">
        <f>'Базовые параметры'!A16</f>
        <v>Предоставление собственникам жилого помещения другого жилого помещения (по площади расселяемого жилого помещения), если не предусмотрено предоставление равнозначного жилого помещения</v>
      </c>
      <c r="B79" s="3" t="s">
        <v>253</v>
      </c>
      <c r="C79" s="11" t="s">
        <v>247</v>
      </c>
      <c r="D79" s="181">
        <f>SUM(D80:D82)</f>
        <v>0</v>
      </c>
      <c r="E79" s="181">
        <f t="shared" ref="E79:N79" si="47">SUM(E80:E82)</f>
        <v>0</v>
      </c>
      <c r="F79" s="181">
        <f t="shared" si="47"/>
        <v>0</v>
      </c>
      <c r="G79" s="181">
        <f t="shared" si="47"/>
        <v>0</v>
      </c>
      <c r="H79" s="181">
        <f t="shared" si="47"/>
        <v>0</v>
      </c>
      <c r="I79" s="181">
        <f t="shared" si="47"/>
        <v>0</v>
      </c>
      <c r="J79" s="181">
        <f t="shared" si="47"/>
        <v>0</v>
      </c>
      <c r="K79" s="181">
        <f t="shared" si="47"/>
        <v>0</v>
      </c>
      <c r="L79" s="181">
        <f t="shared" si="47"/>
        <v>0</v>
      </c>
      <c r="M79" s="181">
        <f t="shared" si="47"/>
        <v>0</v>
      </c>
      <c r="N79" s="181">
        <f t="shared" si="47"/>
        <v>0</v>
      </c>
    </row>
    <row r="80" spans="1:14" s="24" customFormat="1" ht="54" x14ac:dyDescent="0.25">
      <c r="A80" s="108" t="s">
        <v>567</v>
      </c>
      <c r="B80" s="3" t="s">
        <v>253</v>
      </c>
      <c r="C80" s="11" t="s">
        <v>247</v>
      </c>
      <c r="D80" s="181">
        <f>'Базовые параметры'!D16*'Исходные данные'!D15*D62</f>
        <v>0</v>
      </c>
      <c r="E80" s="181">
        <v>0</v>
      </c>
      <c r="F80" s="181">
        <v>0</v>
      </c>
      <c r="G80" s="181">
        <v>0</v>
      </c>
      <c r="H80" s="181">
        <f>D80</f>
        <v>0</v>
      </c>
      <c r="I80" s="118">
        <v>0</v>
      </c>
      <c r="J80" s="118">
        <v>0</v>
      </c>
      <c r="K80" s="118">
        <v>0</v>
      </c>
      <c r="L80" s="118">
        <v>0</v>
      </c>
      <c r="M80" s="118">
        <v>0</v>
      </c>
      <c r="N80" s="118">
        <v>0</v>
      </c>
    </row>
    <row r="81" spans="1:14" s="24" customFormat="1" ht="54" x14ac:dyDescent="0.25">
      <c r="A81" s="108" t="s">
        <v>570</v>
      </c>
      <c r="B81" s="3" t="s">
        <v>253</v>
      </c>
      <c r="C81" s="11" t="s">
        <v>247</v>
      </c>
      <c r="D81" s="181">
        <f>'Базовые параметры'!D16*'Исходные данные'!D15*D63</f>
        <v>0</v>
      </c>
      <c r="E81" s="181">
        <f>D81</f>
        <v>0</v>
      </c>
      <c r="F81" s="181">
        <v>0</v>
      </c>
      <c r="G81" s="181">
        <v>0</v>
      </c>
      <c r="H81" s="181">
        <v>0</v>
      </c>
      <c r="I81" s="181">
        <v>0</v>
      </c>
      <c r="J81" s="181">
        <v>0</v>
      </c>
      <c r="K81" s="181">
        <v>0</v>
      </c>
      <c r="L81" s="181">
        <v>0</v>
      </c>
      <c r="M81" s="181">
        <v>0</v>
      </c>
      <c r="N81" s="181">
        <v>0</v>
      </c>
    </row>
    <row r="82" spans="1:14" s="24" customFormat="1" ht="54" x14ac:dyDescent="0.25">
      <c r="A82" s="108" t="s">
        <v>263</v>
      </c>
      <c r="B82" s="3" t="s">
        <v>253</v>
      </c>
      <c r="C82" s="11" t="s">
        <v>247</v>
      </c>
      <c r="D82" s="181">
        <f>'Базовые параметры'!D16*'Исходные данные'!D15*D64</f>
        <v>0</v>
      </c>
      <c r="E82" s="181">
        <f>D82</f>
        <v>0</v>
      </c>
      <c r="F82" s="181">
        <v>0</v>
      </c>
      <c r="G82" s="181">
        <v>0</v>
      </c>
      <c r="H82" s="181">
        <v>0</v>
      </c>
      <c r="I82" s="181">
        <v>0</v>
      </c>
      <c r="J82" s="181">
        <v>0</v>
      </c>
      <c r="K82" s="181">
        <v>0</v>
      </c>
      <c r="L82" s="181">
        <v>0</v>
      </c>
      <c r="M82" s="181">
        <v>0</v>
      </c>
      <c r="N82" s="181">
        <v>0</v>
      </c>
    </row>
    <row r="83" spans="1:14" s="24" customFormat="1" ht="54" x14ac:dyDescent="0.25">
      <c r="A83" s="108" t="str">
        <f>'Базовые параметры'!A17</f>
        <v xml:space="preserve">Предоставление собственникам жилого помещения равноценного возмещения, определенного в соответствии с ч. 7 ст. 32 ЖК РФ </v>
      </c>
      <c r="B83" s="3" t="s">
        <v>253</v>
      </c>
      <c r="C83" s="11" t="s">
        <v>247</v>
      </c>
      <c r="D83" s="181">
        <f>'Базовые параметры'!D17*'Исходные данные'!D15</f>
        <v>0.8</v>
      </c>
      <c r="E83" s="181">
        <f>D83</f>
        <v>0.8</v>
      </c>
      <c r="F83" s="181">
        <v>0</v>
      </c>
      <c r="G83" s="181">
        <v>0</v>
      </c>
      <c r="H83" s="181">
        <v>0</v>
      </c>
      <c r="I83" s="181">
        <v>0</v>
      </c>
      <c r="J83" s="181">
        <v>0</v>
      </c>
      <c r="K83" s="181">
        <v>0</v>
      </c>
      <c r="L83" s="181">
        <v>0</v>
      </c>
      <c r="M83" s="181">
        <v>0</v>
      </c>
      <c r="N83" s="181">
        <v>0</v>
      </c>
    </row>
    <row r="84" spans="1:14" s="24" customFormat="1" ht="54" x14ac:dyDescent="0.25">
      <c r="A84" s="108" t="str">
        <f>'Базовые параметры'!A18</f>
        <v>Предоставление нанимателям жилого помещения другого жилого помещения по договору найма жилого помещения в жилищном фонде социального использования (договор некоммерческого найма)</v>
      </c>
      <c r="B84" s="3" t="s">
        <v>253</v>
      </c>
      <c r="C84" s="11" t="s">
        <v>247</v>
      </c>
      <c r="D84" s="181">
        <f>'Базовые параметры'!D18*'Исходные данные'!D15</f>
        <v>0.04</v>
      </c>
      <c r="E84" s="181">
        <v>0</v>
      </c>
      <c r="F84" s="181">
        <v>0</v>
      </c>
      <c r="G84" s="181">
        <v>0</v>
      </c>
      <c r="H84" s="181">
        <f>D84</f>
        <v>0.04</v>
      </c>
      <c r="I84" s="118">
        <v>0</v>
      </c>
      <c r="J84" s="118">
        <v>0</v>
      </c>
      <c r="K84" s="118">
        <v>0</v>
      </c>
      <c r="L84" s="118">
        <v>0</v>
      </c>
      <c r="M84" s="118">
        <v>0</v>
      </c>
      <c r="N84" s="118">
        <v>0</v>
      </c>
    </row>
    <row r="85" spans="1:14" s="24" customFormat="1" ht="58.15" customHeight="1" x14ac:dyDescent="0.25">
      <c r="A85" s="108" t="str">
        <f>'Базовые параметры'!A19</f>
        <v xml:space="preserve">Предоставление нанимателям жилого помещения другого жилого помещения (по площади расселяемого жилого помещения) по договору социального найма или в собственность (по заявлению), если не предусмотрено предоставление равнозначного жилого помещения </v>
      </c>
      <c r="B85" s="3" t="s">
        <v>253</v>
      </c>
      <c r="C85" s="11" t="s">
        <v>247</v>
      </c>
      <c r="D85" s="181">
        <f>'Базовые параметры'!D19*'Исходные данные'!D15</f>
        <v>0.36</v>
      </c>
      <c r="E85" s="118">
        <v>0</v>
      </c>
      <c r="F85" s="118">
        <v>0</v>
      </c>
      <c r="G85" s="118">
        <v>0</v>
      </c>
      <c r="H85" s="118">
        <f>D85</f>
        <v>0.36</v>
      </c>
      <c r="I85" s="118">
        <v>0</v>
      </c>
      <c r="J85" s="118">
        <v>0</v>
      </c>
      <c r="K85" s="118">
        <v>0</v>
      </c>
      <c r="L85" s="118">
        <v>0</v>
      </c>
      <c r="M85" s="118">
        <v>0</v>
      </c>
      <c r="N85" s="118">
        <v>0</v>
      </c>
    </row>
    <row r="86" spans="1:14" s="24" customFormat="1" ht="58.15" customHeight="1" x14ac:dyDescent="0.25">
      <c r="A86" s="108" t="str">
        <f>'Базовые параметры'!A20</f>
        <v xml:space="preserve">Предоставление нанимателям жилого помещения другого равнозначного жилого помещения (если предусмотрено предоставление равнозначного жилого помещения) </v>
      </c>
      <c r="B86" s="3" t="s">
        <v>253</v>
      </c>
      <c r="C86" s="11" t="s">
        <v>247</v>
      </c>
      <c r="D86" s="181">
        <f>'Базовые параметры'!D20*'Исходные данные'!D15*'Калькулятор чувствительности'!D50</f>
        <v>0</v>
      </c>
      <c r="E86" s="118">
        <v>0</v>
      </c>
      <c r="F86" s="118">
        <v>0</v>
      </c>
      <c r="G86" s="118">
        <v>0</v>
      </c>
      <c r="H86" s="118">
        <f>D86</f>
        <v>0</v>
      </c>
      <c r="I86" s="118">
        <v>0</v>
      </c>
      <c r="J86" s="118">
        <v>0</v>
      </c>
      <c r="K86" s="118">
        <v>0</v>
      </c>
      <c r="L86" s="118">
        <v>0</v>
      </c>
      <c r="M86" s="118">
        <v>0</v>
      </c>
      <c r="N86" s="118">
        <v>0</v>
      </c>
    </row>
    <row r="87" spans="1:14" s="24" customFormat="1" ht="54" x14ac:dyDescent="0.25">
      <c r="A87" s="107" t="s">
        <v>524</v>
      </c>
      <c r="B87" s="3" t="s">
        <v>253</v>
      </c>
      <c r="C87" s="11" t="s">
        <v>247</v>
      </c>
      <c r="D87" s="181">
        <f>SUM(D88:D89)</f>
        <v>2</v>
      </c>
      <c r="E87" s="118">
        <f>SUM(E88:E89)</f>
        <v>2</v>
      </c>
      <c r="F87" s="118">
        <f>SUM(F88:F89)</f>
        <v>0</v>
      </c>
      <c r="G87" s="118">
        <f t="shared" ref="G87:N87" si="48">SUM(G88:G89)</f>
        <v>0</v>
      </c>
      <c r="H87" s="118">
        <f t="shared" si="48"/>
        <v>0</v>
      </c>
      <c r="I87" s="118">
        <f t="shared" si="48"/>
        <v>0</v>
      </c>
      <c r="J87" s="118">
        <f t="shared" si="48"/>
        <v>0</v>
      </c>
      <c r="K87" s="118">
        <f t="shared" si="48"/>
        <v>0</v>
      </c>
      <c r="L87" s="118">
        <f t="shared" si="48"/>
        <v>0</v>
      </c>
      <c r="M87" s="118">
        <f t="shared" si="48"/>
        <v>0</v>
      </c>
      <c r="N87" s="118">
        <f t="shared" si="48"/>
        <v>0</v>
      </c>
    </row>
    <row r="88" spans="1:14" s="24" customFormat="1" ht="54" x14ac:dyDescent="0.25">
      <c r="A88" s="108" t="str">
        <f>'Базовые параметры'!A22</f>
        <v>Предоставление собственникам дома возмещения в размере рыночной стоимости дома и земельного участка, а также убытков</v>
      </c>
      <c r="B88" s="3" t="s">
        <v>253</v>
      </c>
      <c r="C88" s="11" t="s">
        <v>247</v>
      </c>
      <c r="D88" s="181">
        <f>'Базовые параметры'!D22*'Исходные данные'!D16</f>
        <v>2</v>
      </c>
      <c r="E88" s="181">
        <f>D88</f>
        <v>2</v>
      </c>
      <c r="F88" s="181">
        <v>0</v>
      </c>
      <c r="G88" s="181">
        <v>0</v>
      </c>
      <c r="H88" s="181">
        <v>0</v>
      </c>
      <c r="I88" s="181">
        <v>0</v>
      </c>
      <c r="J88" s="181">
        <v>0</v>
      </c>
      <c r="K88" s="181">
        <v>0</v>
      </c>
      <c r="L88" s="181">
        <v>0</v>
      </c>
      <c r="M88" s="181">
        <v>0</v>
      </c>
      <c r="N88" s="181">
        <v>0</v>
      </c>
    </row>
    <row r="89" spans="1:14" s="24" customFormat="1" ht="54" x14ac:dyDescent="0.25">
      <c r="A89" s="108" t="str">
        <f>'Базовые параметры'!_ftnref1</f>
        <v>Предоставление иного земельного участка или жилого помещения</v>
      </c>
      <c r="B89" s="3" t="s">
        <v>253</v>
      </c>
      <c r="C89" s="11" t="s">
        <v>247</v>
      </c>
      <c r="D89" s="181">
        <f>'Базовые параметры'!D23*'Исходные данные'!D16</f>
        <v>0</v>
      </c>
      <c r="E89" s="181">
        <f>D89</f>
        <v>0</v>
      </c>
      <c r="F89" s="181">
        <v>0</v>
      </c>
      <c r="G89" s="181">
        <v>0</v>
      </c>
      <c r="H89" s="181">
        <v>0</v>
      </c>
      <c r="I89" s="181">
        <v>0</v>
      </c>
      <c r="J89" s="181">
        <v>0</v>
      </c>
      <c r="K89" s="181">
        <v>0</v>
      </c>
      <c r="L89" s="181">
        <v>0</v>
      </c>
      <c r="M89" s="181">
        <v>0</v>
      </c>
      <c r="N89" s="181">
        <v>0</v>
      </c>
    </row>
    <row r="90" spans="1:14" ht="82.9" customHeight="1" x14ac:dyDescent="0.2">
      <c r="A90" s="315" t="s">
        <v>473</v>
      </c>
      <c r="B90" s="102" t="s">
        <v>253</v>
      </c>
      <c r="C90" s="8" t="s">
        <v>20</v>
      </c>
      <c r="D90" s="117">
        <f>SUM(E90:F90)</f>
        <v>294.40563200000003</v>
      </c>
      <c r="E90" s="325">
        <f>(E68+E77+E81)*(E50+E49+E51+E53+E58+E55)+(E69+(E78+E82))*E41+(E72+E83)*E44</f>
        <v>294.40563200000003</v>
      </c>
      <c r="F90" s="325">
        <f t="shared" ref="F90:N90" si="49">(F68+F77+F81)*(F50+F49+F51+F53+F58+F55)+(F69+(F78+F82))*F41+(F72+F83)*F44</f>
        <v>0</v>
      </c>
      <c r="G90" s="325">
        <f t="shared" si="49"/>
        <v>0</v>
      </c>
      <c r="H90" s="325">
        <f t="shared" si="49"/>
        <v>0</v>
      </c>
      <c r="I90" s="325">
        <f t="shared" si="49"/>
        <v>0</v>
      </c>
      <c r="J90" s="325">
        <f t="shared" si="49"/>
        <v>0</v>
      </c>
      <c r="K90" s="325">
        <f t="shared" si="49"/>
        <v>0</v>
      </c>
      <c r="L90" s="325">
        <f t="shared" si="49"/>
        <v>0</v>
      </c>
      <c r="M90" s="325">
        <f t="shared" si="49"/>
        <v>0</v>
      </c>
      <c r="N90" s="325">
        <f t="shared" si="49"/>
        <v>0</v>
      </c>
    </row>
    <row r="91" spans="1:14" ht="40.9" customHeight="1" x14ac:dyDescent="0.2">
      <c r="A91" s="315" t="s">
        <v>276</v>
      </c>
      <c r="B91" s="102" t="s">
        <v>253</v>
      </c>
      <c r="C91" s="8" t="s">
        <v>20</v>
      </c>
      <c r="D91" s="117">
        <f>SUM(E91:F91)</f>
        <v>299.52</v>
      </c>
      <c r="E91" s="117">
        <f>E87*E42</f>
        <v>299.52</v>
      </c>
      <c r="F91" s="117">
        <f t="shared" ref="F91:N91" si="50">F87*F42</f>
        <v>0</v>
      </c>
      <c r="G91" s="117">
        <f t="shared" si="50"/>
        <v>0</v>
      </c>
      <c r="H91" s="117">
        <f t="shared" si="50"/>
        <v>0</v>
      </c>
      <c r="I91" s="117">
        <f t="shared" si="50"/>
        <v>0</v>
      </c>
      <c r="J91" s="117">
        <f t="shared" si="50"/>
        <v>0</v>
      </c>
      <c r="K91" s="117">
        <f t="shared" si="50"/>
        <v>0</v>
      </c>
      <c r="L91" s="117">
        <f t="shared" si="50"/>
        <v>0</v>
      </c>
      <c r="M91" s="117">
        <f t="shared" si="50"/>
        <v>0</v>
      </c>
      <c r="N91" s="117">
        <f t="shared" si="50"/>
        <v>0</v>
      </c>
    </row>
    <row r="92" spans="1:14" ht="19.149999999999999" customHeight="1" x14ac:dyDescent="0.2">
      <c r="A92" s="315" t="s">
        <v>571</v>
      </c>
      <c r="B92" s="102" t="s">
        <v>253</v>
      </c>
      <c r="C92" s="8" t="s">
        <v>20</v>
      </c>
      <c r="D92" s="117">
        <f>SUM(E92:F92)</f>
        <v>29.952000000000002</v>
      </c>
      <c r="E92" s="117">
        <f>E10*E47</f>
        <v>29.952000000000002</v>
      </c>
      <c r="F92" s="117">
        <f t="shared" ref="F92:N92" si="51">F10*F47</f>
        <v>0</v>
      </c>
      <c r="G92" s="117">
        <f t="shared" si="51"/>
        <v>0</v>
      </c>
      <c r="H92" s="117">
        <f t="shared" si="51"/>
        <v>0</v>
      </c>
      <c r="I92" s="117">
        <f t="shared" si="51"/>
        <v>0</v>
      </c>
      <c r="J92" s="117">
        <f t="shared" si="51"/>
        <v>0</v>
      </c>
      <c r="K92" s="117">
        <f t="shared" si="51"/>
        <v>0</v>
      </c>
      <c r="L92" s="117">
        <f t="shared" si="51"/>
        <v>0</v>
      </c>
      <c r="M92" s="117">
        <v>0</v>
      </c>
      <c r="N92" s="117">
        <f t="shared" si="51"/>
        <v>0</v>
      </c>
    </row>
    <row r="93" spans="1:14" ht="36" x14ac:dyDescent="0.25">
      <c r="A93" s="155" t="s">
        <v>476</v>
      </c>
      <c r="B93" s="3"/>
      <c r="C93" s="8"/>
      <c r="D93" s="8"/>
      <c r="E93" s="4"/>
      <c r="F93" s="3"/>
      <c r="G93" s="3"/>
      <c r="H93" s="3"/>
      <c r="I93" s="3"/>
      <c r="J93" s="3"/>
      <c r="K93" s="3"/>
      <c r="L93" s="3"/>
      <c r="M93" s="3"/>
      <c r="N93" s="3"/>
    </row>
    <row r="94" spans="1:14" ht="126" x14ac:dyDescent="0.25">
      <c r="A94" s="105" t="s">
        <v>597</v>
      </c>
      <c r="B94" s="104" t="s">
        <v>507</v>
      </c>
      <c r="C94" s="110" t="s">
        <v>271</v>
      </c>
      <c r="D94" s="106">
        <f>'Калькулятор чувствительности'!D56</f>
        <v>0.5</v>
      </c>
      <c r="E94" s="4"/>
      <c r="F94" s="3"/>
      <c r="G94" s="3"/>
      <c r="H94" s="3"/>
      <c r="I94" s="3"/>
      <c r="J94" s="3"/>
      <c r="K94" s="3"/>
      <c r="L94" s="3"/>
      <c r="M94" s="3"/>
      <c r="N94" s="3"/>
    </row>
    <row r="95" spans="1:14" x14ac:dyDescent="0.25">
      <c r="A95" s="10" t="s">
        <v>508</v>
      </c>
      <c r="B95" s="342" t="s">
        <v>282</v>
      </c>
      <c r="C95" s="11" t="s">
        <v>9</v>
      </c>
      <c r="D95" s="331">
        <f>'Исходные данные'!D71</f>
        <v>69.3</v>
      </c>
      <c r="E95" s="332">
        <f>D95*E32</f>
        <v>72.072000000000003</v>
      </c>
      <c r="F95" s="332">
        <f t="shared" ref="F95:N95" si="52">E95*F32</f>
        <v>74.954880000000003</v>
      </c>
      <c r="G95" s="332">
        <f t="shared" si="52"/>
        <v>77.953075200000001</v>
      </c>
      <c r="H95" s="332">
        <f t="shared" si="52"/>
        <v>81.071198207999998</v>
      </c>
      <c r="I95" s="332">
        <f t="shared" si="52"/>
        <v>84.314046136320002</v>
      </c>
      <c r="J95" s="332">
        <f t="shared" si="52"/>
        <v>87.686607981772809</v>
      </c>
      <c r="K95" s="332">
        <f t="shared" si="52"/>
        <v>91.194072301043718</v>
      </c>
      <c r="L95" s="332">
        <f t="shared" si="52"/>
        <v>94.841835193085473</v>
      </c>
      <c r="M95" s="332">
        <f t="shared" si="52"/>
        <v>98.63550860080889</v>
      </c>
      <c r="N95" s="332">
        <f t="shared" si="52"/>
        <v>102.58092894484125</v>
      </c>
    </row>
    <row r="96" spans="1:14" x14ac:dyDescent="0.25">
      <c r="A96" s="10" t="s">
        <v>272</v>
      </c>
      <c r="B96" s="3" t="s">
        <v>253</v>
      </c>
      <c r="C96" s="8" t="s">
        <v>20</v>
      </c>
      <c r="D96" s="331">
        <f>SUM(E96:N96)</f>
        <v>167.91442956288</v>
      </c>
      <c r="E96" s="18">
        <f>E65*E95</f>
        <v>57.657600000000002</v>
      </c>
      <c r="F96" s="18">
        <f t="shared" ref="F96:N96" si="53">F65*F95</f>
        <v>0</v>
      </c>
      <c r="G96" s="18">
        <f t="shared" si="53"/>
        <v>0</v>
      </c>
      <c r="H96" s="18">
        <f t="shared" si="53"/>
        <v>110.25682956287999</v>
      </c>
      <c r="I96" s="18">
        <f t="shared" si="53"/>
        <v>0</v>
      </c>
      <c r="J96" s="18">
        <f t="shared" si="53"/>
        <v>0</v>
      </c>
      <c r="K96" s="18">
        <f t="shared" si="53"/>
        <v>0</v>
      </c>
      <c r="L96" s="18">
        <f t="shared" si="53"/>
        <v>0</v>
      </c>
      <c r="M96" s="18">
        <f t="shared" si="53"/>
        <v>0</v>
      </c>
      <c r="N96" s="18">
        <f t="shared" si="53"/>
        <v>0</v>
      </c>
    </row>
    <row r="97" spans="1:14" x14ac:dyDescent="0.25">
      <c r="A97" s="10" t="s">
        <v>586</v>
      </c>
      <c r="B97" s="3" t="s">
        <v>253</v>
      </c>
      <c r="C97" s="8" t="s">
        <v>20</v>
      </c>
      <c r="D97" s="157">
        <f>SUM(E97:N97)</f>
        <v>83.957214781440001</v>
      </c>
      <c r="E97" s="157">
        <f>E96*$D$94</f>
        <v>28.828800000000001</v>
      </c>
      <c r="F97" s="157">
        <f t="shared" ref="F97:N97" si="54">F96*$D$94</f>
        <v>0</v>
      </c>
      <c r="G97" s="157">
        <f t="shared" si="54"/>
        <v>0</v>
      </c>
      <c r="H97" s="157">
        <f t="shared" si="54"/>
        <v>55.128414781439993</v>
      </c>
      <c r="I97" s="157">
        <f t="shared" si="54"/>
        <v>0</v>
      </c>
      <c r="J97" s="157">
        <f t="shared" si="54"/>
        <v>0</v>
      </c>
      <c r="K97" s="157">
        <f t="shared" si="54"/>
        <v>0</v>
      </c>
      <c r="L97" s="157">
        <f t="shared" si="54"/>
        <v>0</v>
      </c>
      <c r="M97" s="157">
        <f t="shared" si="54"/>
        <v>0</v>
      </c>
      <c r="N97" s="157">
        <f t="shared" si="54"/>
        <v>0</v>
      </c>
    </row>
    <row r="98" spans="1:14" ht="36" x14ac:dyDescent="0.25">
      <c r="A98" s="120" t="s">
        <v>487</v>
      </c>
      <c r="B98" s="3" t="s">
        <v>253</v>
      </c>
      <c r="C98" s="8" t="s">
        <v>20</v>
      </c>
      <c r="D98" s="157">
        <f>SUM(E98:N98)</f>
        <v>64.914558566400004</v>
      </c>
      <c r="E98" s="41">
        <f>E73*(E95-E44)</f>
        <v>28.857600000000005</v>
      </c>
      <c r="F98" s="41">
        <f t="shared" ref="F98:M98" si="55">F73*(F95-F44)</f>
        <v>0</v>
      </c>
      <c r="G98" s="41">
        <f t="shared" si="55"/>
        <v>0</v>
      </c>
      <c r="H98" s="41">
        <f t="shared" si="55"/>
        <v>36.056958566399999</v>
      </c>
      <c r="I98" s="41">
        <f t="shared" si="55"/>
        <v>0</v>
      </c>
      <c r="J98" s="41">
        <f t="shared" si="55"/>
        <v>0</v>
      </c>
      <c r="K98" s="41">
        <f t="shared" si="55"/>
        <v>0</v>
      </c>
      <c r="L98" s="41">
        <f t="shared" si="55"/>
        <v>0</v>
      </c>
      <c r="M98" s="41">
        <f t="shared" si="55"/>
        <v>0</v>
      </c>
      <c r="N98" s="41">
        <f>N73*(N95-N44)</f>
        <v>0</v>
      </c>
    </row>
    <row r="99" spans="1:14" ht="70.900000000000006" customHeight="1" x14ac:dyDescent="0.2">
      <c r="A99" s="105" t="s">
        <v>488</v>
      </c>
      <c r="B99" s="104" t="s">
        <v>507</v>
      </c>
      <c r="C99" s="110" t="s">
        <v>20</v>
      </c>
      <c r="D99" s="110">
        <v>0</v>
      </c>
      <c r="E99" s="165">
        <f>D99</f>
        <v>0</v>
      </c>
      <c r="F99" s="165">
        <f t="shared" ref="F99:N99" si="56">E99</f>
        <v>0</v>
      </c>
      <c r="G99" s="165">
        <f t="shared" si="56"/>
        <v>0</v>
      </c>
      <c r="H99" s="165">
        <f t="shared" si="56"/>
        <v>0</v>
      </c>
      <c r="I99" s="165">
        <f t="shared" si="56"/>
        <v>0</v>
      </c>
      <c r="J99" s="165">
        <f t="shared" si="56"/>
        <v>0</v>
      </c>
      <c r="K99" s="165">
        <f t="shared" si="56"/>
        <v>0</v>
      </c>
      <c r="L99" s="165">
        <f t="shared" si="56"/>
        <v>0</v>
      </c>
      <c r="M99" s="165">
        <f t="shared" si="56"/>
        <v>0</v>
      </c>
      <c r="N99" s="165">
        <f t="shared" si="56"/>
        <v>0</v>
      </c>
    </row>
    <row r="100" spans="1:14" ht="20.25" x14ac:dyDescent="0.3">
      <c r="A100" s="392" t="s">
        <v>12</v>
      </c>
      <c r="B100" s="393"/>
      <c r="C100" s="393"/>
      <c r="D100" s="394"/>
      <c r="E100" s="394"/>
      <c r="F100" s="394"/>
      <c r="G100" s="394"/>
      <c r="H100" s="394"/>
      <c r="I100" s="394"/>
      <c r="J100" s="394"/>
      <c r="K100" s="394"/>
      <c r="L100" s="394"/>
      <c r="M100" s="394"/>
      <c r="N100" s="394"/>
    </row>
    <row r="101" spans="1:14" x14ac:dyDescent="0.25">
      <c r="A101" s="105" t="s">
        <v>412</v>
      </c>
      <c r="B101" s="105"/>
      <c r="C101" s="178"/>
      <c r="D101" s="105"/>
      <c r="E101" s="179"/>
      <c r="F101" s="177"/>
      <c r="G101" s="177"/>
      <c r="H101" s="177"/>
      <c r="I101" s="177"/>
      <c r="J101" s="177"/>
      <c r="K101" s="177"/>
      <c r="L101" s="177"/>
      <c r="M101" s="177"/>
      <c r="N101" s="177"/>
    </row>
    <row r="102" spans="1:14" ht="126" x14ac:dyDescent="0.25">
      <c r="A102" s="122" t="s">
        <v>15</v>
      </c>
      <c r="B102" s="104" t="s">
        <v>507</v>
      </c>
      <c r="C102" s="110" t="s">
        <v>413</v>
      </c>
      <c r="D102" s="395">
        <f>'Калькулятор чувствительности'!D52</f>
        <v>1</v>
      </c>
      <c r="E102" s="179"/>
      <c r="F102" s="177"/>
      <c r="G102" s="177"/>
      <c r="H102" s="177"/>
      <c r="I102" s="177"/>
      <c r="J102" s="177"/>
      <c r="K102" s="177"/>
      <c r="L102" s="177"/>
      <c r="M102" s="177"/>
      <c r="N102" s="177"/>
    </row>
    <row r="103" spans="1:14" ht="126" x14ac:dyDescent="0.25">
      <c r="A103" s="122" t="s">
        <v>16</v>
      </c>
      <c r="B103" s="104" t="s">
        <v>507</v>
      </c>
      <c r="C103" s="110" t="s">
        <v>414</v>
      </c>
      <c r="D103" s="395">
        <f>'Калькулятор чувствительности'!D53</f>
        <v>1</v>
      </c>
      <c r="E103" s="179"/>
      <c r="F103" s="177"/>
      <c r="G103" s="177"/>
      <c r="H103" s="177"/>
      <c r="I103" s="177"/>
      <c r="J103" s="177"/>
      <c r="K103" s="177"/>
      <c r="L103" s="177"/>
      <c r="M103" s="177"/>
      <c r="N103" s="177"/>
    </row>
    <row r="104" spans="1:14" ht="57" customHeight="1" x14ac:dyDescent="0.25">
      <c r="A104" s="122" t="s">
        <v>17</v>
      </c>
      <c r="B104" s="104" t="s">
        <v>507</v>
      </c>
      <c r="C104" s="110" t="s">
        <v>415</v>
      </c>
      <c r="D104" s="395">
        <f>'Калькулятор чувствительности'!D54</f>
        <v>1</v>
      </c>
      <c r="E104" s="179"/>
      <c r="F104" s="177"/>
      <c r="G104" s="177"/>
      <c r="H104" s="177"/>
      <c r="I104" s="177"/>
      <c r="J104" s="177"/>
      <c r="K104" s="177"/>
      <c r="L104" s="177"/>
      <c r="M104" s="177"/>
      <c r="N104" s="177"/>
    </row>
    <row r="105" spans="1:14" x14ac:dyDescent="0.25">
      <c r="A105" s="10" t="s">
        <v>13</v>
      </c>
      <c r="B105" s="4" t="s">
        <v>19</v>
      </c>
      <c r="C105" s="4" t="s">
        <v>20</v>
      </c>
      <c r="D105" s="18">
        <f>SUM(E105:N105)</f>
        <v>6175.8786287377798</v>
      </c>
      <c r="E105" s="18">
        <f>SUM(E106:E116)+E117+D119</f>
        <v>769.74799359999997</v>
      </c>
      <c r="F105" s="18">
        <f>SUM(F106:F116)+F117+F119</f>
        <v>217.14963097814532</v>
      </c>
      <c r="G105" s="18">
        <f t="shared" ref="G105:N105" si="57">SUM(G106:G116)+G117+G119</f>
        <v>452.75944714835151</v>
      </c>
      <c r="H105" s="18">
        <f t="shared" si="57"/>
        <v>731.45806943463242</v>
      </c>
      <c r="I105" s="18">
        <f t="shared" si="57"/>
        <v>736.8357927785853</v>
      </c>
      <c r="J105" s="18">
        <f t="shared" si="57"/>
        <v>765.5848805370963</v>
      </c>
      <c r="K105" s="18">
        <f t="shared" si="57"/>
        <v>768.66213901019205</v>
      </c>
      <c r="L105" s="18">
        <f t="shared" si="57"/>
        <v>543.54852417648203</v>
      </c>
      <c r="M105" s="18">
        <f t="shared" si="57"/>
        <v>297.67806925417597</v>
      </c>
      <c r="N105" s="18">
        <f t="shared" si="57"/>
        <v>892.45408182011909</v>
      </c>
    </row>
    <row r="106" spans="1:14" x14ac:dyDescent="0.25">
      <c r="A106" s="10" t="s">
        <v>31</v>
      </c>
      <c r="B106" s="4" t="s">
        <v>19</v>
      </c>
      <c r="C106" s="4" t="s">
        <v>20</v>
      </c>
      <c r="D106" s="18">
        <f t="shared" ref="D106:D117" si="58">SUM(E106:N106)</f>
        <v>16.459571920896003</v>
      </c>
      <c r="E106" s="18">
        <f t="shared" ref="E106:N106" si="59">E60*(E4+E6+E8+E10+E12)</f>
        <v>13.977600000000002</v>
      </c>
      <c r="F106" s="18">
        <f t="shared" si="59"/>
        <v>0</v>
      </c>
      <c r="G106" s="18">
        <f t="shared" si="59"/>
        <v>0</v>
      </c>
      <c r="H106" s="18">
        <f t="shared" si="59"/>
        <v>0</v>
      </c>
      <c r="I106" s="18">
        <f t="shared" si="59"/>
        <v>2.4819719208959992</v>
      </c>
      <c r="J106" s="18">
        <f t="shared" si="59"/>
        <v>0</v>
      </c>
      <c r="K106" s="18">
        <f t="shared" si="59"/>
        <v>0</v>
      </c>
      <c r="L106" s="18">
        <f t="shared" si="59"/>
        <v>0</v>
      </c>
      <c r="M106" s="18">
        <f t="shared" si="59"/>
        <v>0</v>
      </c>
      <c r="N106" s="18">
        <f t="shared" si="59"/>
        <v>0</v>
      </c>
    </row>
    <row r="107" spans="1:14" x14ac:dyDescent="0.25">
      <c r="A107" s="3" t="s">
        <v>14</v>
      </c>
      <c r="B107" s="4" t="s">
        <v>19</v>
      </c>
      <c r="C107" s="4" t="s">
        <v>20</v>
      </c>
      <c r="D107" s="18">
        <f t="shared" si="58"/>
        <v>3283.3680268173975</v>
      </c>
      <c r="E107" s="119">
        <v>0</v>
      </c>
      <c r="F107" s="18">
        <f>$H$18*H50/3</f>
        <v>165.19962678613334</v>
      </c>
      <c r="G107" s="18">
        <f>($H$18+$I$18)*I50/3</f>
        <v>343.61522371515736</v>
      </c>
      <c r="H107" s="18">
        <f>($H$18+$I$18+$J$18)*J50/3</f>
        <v>536.03974899564548</v>
      </c>
      <c r="I107" s="18">
        <f>($J$18+$I$18+$K$18)*J50/3</f>
        <v>536.03974899564548</v>
      </c>
      <c r="J107" s="18">
        <f>($J$18+$K$18+$L$18)*K50/3</f>
        <v>557.48133895547141</v>
      </c>
      <c r="K107" s="18">
        <f>($K$18+$M$18+$L$18)*K50/3</f>
        <v>557.48133895547141</v>
      </c>
      <c r="L107" s="18">
        <f>($L$18+$M$18)*L50/3</f>
        <v>386.52039500912679</v>
      </c>
      <c r="M107" s="18">
        <f>M18*M50/3</f>
        <v>200.99060540474593</v>
      </c>
      <c r="N107" s="18">
        <f>N18*N50</f>
        <v>0</v>
      </c>
    </row>
    <row r="108" spans="1:14" x14ac:dyDescent="0.25">
      <c r="A108" s="3" t="s">
        <v>275</v>
      </c>
      <c r="B108" s="4" t="s">
        <v>19</v>
      </c>
      <c r="C108" s="4" t="s">
        <v>20</v>
      </c>
      <c r="D108" s="18">
        <f t="shared" si="58"/>
        <v>579.4178870854231</v>
      </c>
      <c r="E108" s="119">
        <f>E20*E18</f>
        <v>0</v>
      </c>
      <c r="F108" s="119">
        <f>F107*($D$20/$D$18)</f>
        <v>29.152875315200003</v>
      </c>
      <c r="G108" s="119">
        <f t="shared" ref="G108:N108" si="60">G107*($D$20/$D$18)</f>
        <v>60.637980655616005</v>
      </c>
      <c r="H108" s="119">
        <f t="shared" si="60"/>
        <v>94.595249822760977</v>
      </c>
      <c r="I108" s="119">
        <f t="shared" si="60"/>
        <v>94.595249822760977</v>
      </c>
      <c r="J108" s="119">
        <f t="shared" si="60"/>
        <v>98.37905981567144</v>
      </c>
      <c r="K108" s="119">
        <f t="shared" si="60"/>
        <v>98.37905981567144</v>
      </c>
      <c r="L108" s="119">
        <f t="shared" si="60"/>
        <v>68.209481472198846</v>
      </c>
      <c r="M108" s="119">
        <f t="shared" si="60"/>
        <v>35.4689303655434</v>
      </c>
      <c r="N108" s="119">
        <f t="shared" si="60"/>
        <v>0</v>
      </c>
    </row>
    <row r="109" spans="1:14" x14ac:dyDescent="0.25">
      <c r="A109" s="3" t="s">
        <v>277</v>
      </c>
      <c r="B109" s="4" t="s">
        <v>19</v>
      </c>
      <c r="C109" s="4" t="s">
        <v>20</v>
      </c>
      <c r="D109" s="18">
        <f>SUM(E109:N109)</f>
        <v>849.95626840011346</v>
      </c>
      <c r="E109" s="119">
        <f t="shared" ref="E109:N109" si="61">E59*E22</f>
        <v>0</v>
      </c>
      <c r="F109" s="119">
        <f t="shared" si="61"/>
        <v>0</v>
      </c>
      <c r="G109" s="119">
        <f t="shared" si="61"/>
        <v>0</v>
      </c>
      <c r="H109" s="119">
        <f t="shared" si="61"/>
        <v>0</v>
      </c>
      <c r="I109" s="119">
        <f t="shared" si="61"/>
        <v>0</v>
      </c>
      <c r="J109" s="119">
        <f t="shared" si="61"/>
        <v>0</v>
      </c>
      <c r="K109" s="119">
        <f t="shared" si="61"/>
        <v>0</v>
      </c>
      <c r="L109" s="119">
        <f t="shared" si="61"/>
        <v>0</v>
      </c>
      <c r="M109" s="119">
        <f t="shared" si="61"/>
        <v>0</v>
      </c>
      <c r="N109" s="119">
        <f t="shared" si="61"/>
        <v>849.95626840011346</v>
      </c>
    </row>
    <row r="110" spans="1:14" x14ac:dyDescent="0.25">
      <c r="A110" s="3" t="s">
        <v>15</v>
      </c>
      <c r="B110" s="4" t="s">
        <v>19</v>
      </c>
      <c r="C110" s="4" t="s">
        <v>20</v>
      </c>
      <c r="D110" s="18">
        <f>SUM(E110:N110)</f>
        <v>0</v>
      </c>
      <c r="E110" s="119">
        <f>(E55*'Градостроительная модель'!$E$42+E54*'Градостроительная модель'!$E$46)*(1-$D$102)*E18</f>
        <v>0</v>
      </c>
      <c r="F110" s="119">
        <f>(F55*'Градостроительная модель'!$E$42+F54*'Градостроительная модель'!$E$46)*(1-$D$102)*F18</f>
        <v>0</v>
      </c>
      <c r="G110" s="119">
        <f>(G55*'Градостроительная модель'!$E$42+G54*'Градостроительная модель'!$E$46)*(1-$D$102)*G18</f>
        <v>0</v>
      </c>
      <c r="H110" s="119">
        <f>(H55*'Градостроительная модель'!$E$42+H54*'Градостроительная модель'!$E$46)*(1-$D$102)*H18</f>
        <v>0</v>
      </c>
      <c r="I110" s="119">
        <f>(I55*'Градостроительная модель'!$E$42+I54*'Градостроительная модель'!$E$46)*(1-$D$102)*I18</f>
        <v>0</v>
      </c>
      <c r="J110" s="119">
        <f>(J55*'Градостроительная модель'!$E$42+J54*'Градостроительная модель'!$E$46)*(1-$D$102)*J18</f>
        <v>0</v>
      </c>
      <c r="K110" s="119">
        <f>(K55*'Градостроительная модель'!$E$42+K54*'Градостроительная модель'!$E$46)*(1-$D$102)*K18</f>
        <v>0</v>
      </c>
      <c r="L110" s="119">
        <f>(L55*'Градостроительная модель'!$E$42+L54*'Градостроительная модель'!$E$46)*(1-$D$102)*L18</f>
        <v>0</v>
      </c>
      <c r="M110" s="119">
        <f>(M55*'Градостроительная модель'!$E$42+M54*'Градостроительная модель'!$E$46)*(1-$D$102)*M18</f>
        <v>0</v>
      </c>
      <c r="N110" s="119">
        <f>(N55*'Градостроительная модель'!$E$42+N54*'Градостроительная модель'!$E$46)*(1-$D$102)*N18</f>
        <v>0</v>
      </c>
    </row>
    <row r="111" spans="1:14" x14ac:dyDescent="0.25">
      <c r="A111" s="3" t="s">
        <v>16</v>
      </c>
      <c r="B111" s="4" t="s">
        <v>19</v>
      </c>
      <c r="C111" s="4" t="s">
        <v>20</v>
      </c>
      <c r="D111" s="18">
        <f t="shared" si="58"/>
        <v>0</v>
      </c>
      <c r="E111" s="119">
        <f t="shared" ref="E111:N111" si="62">E53*(1-$D$103)*E18</f>
        <v>0</v>
      </c>
      <c r="F111" s="119">
        <f t="shared" si="62"/>
        <v>0</v>
      </c>
      <c r="G111" s="119">
        <f t="shared" si="62"/>
        <v>0</v>
      </c>
      <c r="H111" s="119">
        <f t="shared" si="62"/>
        <v>0</v>
      </c>
      <c r="I111" s="119">
        <f t="shared" si="62"/>
        <v>0</v>
      </c>
      <c r="J111" s="119">
        <f t="shared" si="62"/>
        <v>0</v>
      </c>
      <c r="K111" s="119">
        <f t="shared" si="62"/>
        <v>0</v>
      </c>
      <c r="L111" s="119">
        <f t="shared" si="62"/>
        <v>0</v>
      </c>
      <c r="M111" s="119">
        <f t="shared" si="62"/>
        <v>0</v>
      </c>
      <c r="N111" s="119">
        <f t="shared" si="62"/>
        <v>0</v>
      </c>
    </row>
    <row r="112" spans="1:14" x14ac:dyDescent="0.25">
      <c r="A112" s="3" t="s">
        <v>17</v>
      </c>
      <c r="B112" s="4" t="s">
        <v>19</v>
      </c>
      <c r="C112" s="4" t="s">
        <v>20</v>
      </c>
      <c r="D112" s="18">
        <f t="shared" si="58"/>
        <v>0</v>
      </c>
      <c r="E112" s="119">
        <f t="shared" ref="E112:N112" si="63">(E51+E52)*(1-$D$104)*E18</f>
        <v>0</v>
      </c>
      <c r="F112" s="119">
        <f t="shared" si="63"/>
        <v>0</v>
      </c>
      <c r="G112" s="119">
        <f t="shared" si="63"/>
        <v>0</v>
      </c>
      <c r="H112" s="119">
        <f t="shared" si="63"/>
        <v>0</v>
      </c>
      <c r="I112" s="119">
        <f t="shared" si="63"/>
        <v>0</v>
      </c>
      <c r="J112" s="119">
        <f t="shared" si="63"/>
        <v>0</v>
      </c>
      <c r="K112" s="119">
        <f t="shared" si="63"/>
        <v>0</v>
      </c>
      <c r="L112" s="119">
        <f t="shared" si="63"/>
        <v>0</v>
      </c>
      <c r="M112" s="119">
        <f t="shared" si="63"/>
        <v>0</v>
      </c>
      <c r="N112" s="119">
        <f t="shared" si="63"/>
        <v>0</v>
      </c>
    </row>
    <row r="113" spans="1:14" x14ac:dyDescent="0.25">
      <c r="A113" s="3" t="s">
        <v>18</v>
      </c>
      <c r="B113" s="4" t="s">
        <v>19</v>
      </c>
      <c r="C113" s="4" t="s">
        <v>20</v>
      </c>
      <c r="D113" s="18">
        <f t="shared" si="58"/>
        <v>147.74360506113175</v>
      </c>
      <c r="E113" s="119">
        <f t="shared" ref="E113:N113" si="64">E18*E58</f>
        <v>0</v>
      </c>
      <c r="F113" s="119">
        <f t="shared" si="64"/>
        <v>0</v>
      </c>
      <c r="G113" s="119">
        <f t="shared" si="64"/>
        <v>0</v>
      </c>
      <c r="H113" s="119">
        <f t="shared" si="64"/>
        <v>22.274106982400003</v>
      </c>
      <c r="I113" s="119">
        <f t="shared" si="64"/>
        <v>23.165071261696006</v>
      </c>
      <c r="J113" s="119">
        <f t="shared" si="64"/>
        <v>24.091674112163847</v>
      </c>
      <c r="K113" s="119">
        <f t="shared" si="64"/>
        <v>25.0553410766504</v>
      </c>
      <c r="L113" s="119">
        <f t="shared" si="64"/>
        <v>26.057554719716418</v>
      </c>
      <c r="M113" s="119">
        <f t="shared" si="64"/>
        <v>27.099856908505078</v>
      </c>
      <c r="N113" s="119">
        <f t="shared" si="64"/>
        <v>0</v>
      </c>
    </row>
    <row r="114" spans="1:14" x14ac:dyDescent="0.25">
      <c r="A114" s="3" t="s">
        <v>69</v>
      </c>
      <c r="B114" s="4" t="s">
        <v>19</v>
      </c>
      <c r="C114" s="4" t="s">
        <v>20</v>
      </c>
      <c r="D114" s="18">
        <f t="shared" si="58"/>
        <v>285.72808370340044</v>
      </c>
      <c r="E114" s="30">
        <f t="shared" ref="E114:N114" si="65">$D$28*E57*E107/$D$107/1000</f>
        <v>0</v>
      </c>
      <c r="F114" s="30">
        <f t="shared" si="65"/>
        <v>12.456670258805069</v>
      </c>
      <c r="G114" s="30">
        <f t="shared" si="65"/>
        <v>26.946269103847129</v>
      </c>
      <c r="H114" s="30">
        <f t="shared" si="65"/>
        <v>43.717626994081584</v>
      </c>
      <c r="I114" s="30">
        <f t="shared" si="65"/>
        <v>45.466332073844846</v>
      </c>
      <c r="J114" s="30">
        <f t="shared" si="65"/>
        <v>49.176384771070587</v>
      </c>
      <c r="K114" s="30">
        <f t="shared" si="65"/>
        <v>51.143440161913411</v>
      </c>
      <c r="L114" s="30">
        <f t="shared" si="65"/>
        <v>36.877829919417032</v>
      </c>
      <c r="M114" s="30">
        <f t="shared" si="65"/>
        <v>19.943530420420728</v>
      </c>
      <c r="N114" s="30">
        <f t="shared" si="65"/>
        <v>0</v>
      </c>
    </row>
    <row r="115" spans="1:14" x14ac:dyDescent="0.25">
      <c r="A115" s="3" t="s">
        <v>70</v>
      </c>
      <c r="B115" s="4" t="s">
        <v>19</v>
      </c>
      <c r="C115" s="4" t="s">
        <v>20</v>
      </c>
      <c r="D115" s="18">
        <f t="shared" si="58"/>
        <v>0</v>
      </c>
      <c r="E115" s="30">
        <v>0</v>
      </c>
      <c r="F115" s="30">
        <v>0</v>
      </c>
      <c r="G115" s="30">
        <v>0</v>
      </c>
      <c r="H115" s="30">
        <v>0</v>
      </c>
      <c r="I115" s="30">
        <v>0</v>
      </c>
      <c r="J115" s="30">
        <v>0</v>
      </c>
      <c r="K115" s="30">
        <v>0</v>
      </c>
      <c r="L115" s="30">
        <v>0</v>
      </c>
      <c r="M115" s="30">
        <v>0</v>
      </c>
      <c r="N115" s="30">
        <v>0</v>
      </c>
    </row>
    <row r="116" spans="1:14" s="24" customFormat="1" x14ac:dyDescent="0.25">
      <c r="A116" s="10" t="s">
        <v>399</v>
      </c>
      <c r="B116" s="19" t="s">
        <v>19</v>
      </c>
      <c r="C116" s="19" t="s">
        <v>20</v>
      </c>
      <c r="D116" s="119">
        <f t="shared" si="58"/>
        <v>623.87763199999995</v>
      </c>
      <c r="E116" s="30">
        <f t="shared" ref="E116:N116" si="66">E90+E91+E92</f>
        <v>623.87763199999995</v>
      </c>
      <c r="F116" s="30">
        <f t="shared" si="66"/>
        <v>0</v>
      </c>
      <c r="G116" s="30">
        <f t="shared" si="66"/>
        <v>0</v>
      </c>
      <c r="H116" s="30">
        <f t="shared" si="66"/>
        <v>0</v>
      </c>
      <c r="I116" s="30">
        <f t="shared" si="66"/>
        <v>0</v>
      </c>
      <c r="J116" s="30">
        <f t="shared" si="66"/>
        <v>0</v>
      </c>
      <c r="K116" s="30">
        <f t="shared" si="66"/>
        <v>0</v>
      </c>
      <c r="L116" s="30">
        <f t="shared" si="66"/>
        <v>0</v>
      </c>
      <c r="M116" s="30">
        <f t="shared" si="66"/>
        <v>0</v>
      </c>
      <c r="N116" s="30">
        <f t="shared" si="66"/>
        <v>0</v>
      </c>
    </row>
    <row r="117" spans="1:14" s="24" customFormat="1" x14ac:dyDescent="0.25">
      <c r="A117" s="10" t="s">
        <v>72</v>
      </c>
      <c r="B117" s="19" t="s">
        <v>19</v>
      </c>
      <c r="C117" s="19" t="s">
        <v>20</v>
      </c>
      <c r="D117" s="119">
        <f t="shared" si="58"/>
        <v>289.32755374941809</v>
      </c>
      <c r="E117" s="30">
        <f>SUM(E106:E116)*'Исходные данные'!$D$88</f>
        <v>31.8927616</v>
      </c>
      <c r="F117" s="30">
        <f>SUM(F106:F116)*'Исходные данные'!$D$88</f>
        <v>10.34045861800692</v>
      </c>
      <c r="G117" s="30">
        <f>SUM(G106:G116)*'Исходные данные'!$D$88</f>
        <v>21.559973673731026</v>
      </c>
      <c r="H117" s="30">
        <f>SUM(H106:H116)*'Исходные данные'!$D$88</f>
        <v>34.8313366397444</v>
      </c>
      <c r="I117" s="30">
        <f>SUM(I106:I116)*'Исходные данные'!$D$88</f>
        <v>35.087418703742159</v>
      </c>
      <c r="J117" s="30">
        <f>SUM(J106:J116)*'Исходные данные'!$D$88</f>
        <v>36.456422882718869</v>
      </c>
      <c r="K117" s="30">
        <f>SUM(K106:K116)*'Исходные данные'!$D$88</f>
        <v>36.602959000485335</v>
      </c>
      <c r="L117" s="30">
        <f>SUM(L106:L116)*'Исходные данные'!$D$88</f>
        <v>25.883263056022955</v>
      </c>
      <c r="M117" s="30">
        <f>SUM(M106:M116)*'Исходные данные'!$D$88</f>
        <v>14.17514615496076</v>
      </c>
      <c r="N117" s="30">
        <f>SUM(N106:N116)*'Исходные данные'!$D$88</f>
        <v>42.497813420005677</v>
      </c>
    </row>
    <row r="118" spans="1:14" s="24" customFormat="1" x14ac:dyDescent="0.25">
      <c r="A118" s="10" t="s">
        <v>416</v>
      </c>
      <c r="B118" s="19" t="s">
        <v>19</v>
      </c>
      <c r="C118" s="19" t="s">
        <v>20</v>
      </c>
      <c r="D118" s="119">
        <f>SUM(E118:N118)</f>
        <v>771.96033644441331</v>
      </c>
      <c r="E118" s="30">
        <f>(E55*'Градостроительная модель'!$E$42+E54*'Градостроительная модель'!$E$46)*($D$102)*E18+E53*($D$103)*E18+(E51+E52)*($D$104)*E18</f>
        <v>0</v>
      </c>
      <c r="F118" s="30">
        <f>(F55*'Градостроительная модель'!$E$42+F54*'Градостроительная модель'!$E$46)*($D$102)*F18+F53*($D$103)*F18+(F51+F52)*($D$104)*F18</f>
        <v>0</v>
      </c>
      <c r="G118" s="30">
        <f>(G55*'Градостроительная модель'!$E$42+G54*'Градостроительная модель'!$E$46)*($D$102)*G18+G53*($D$103)*G18+(G51+G52)*($D$104)*G18</f>
        <v>0</v>
      </c>
      <c r="H118" s="30">
        <f>(H55*'Градостроительная модель'!$E$42+H54*'Градостроительная модель'!$E$46)*($D$102)*H18+H53*($D$103)*H18+(H51+H52)*($D$104)*H18</f>
        <v>116.38220898304</v>
      </c>
      <c r="I118" s="30">
        <f>(I55*'Градостроительная модель'!$E$42+I54*'Градостроительная модель'!$E$46)*($D$102)*I18+I53*($D$103)*I18+(I51+I52)*($D$104)*I18</f>
        <v>121.0374973423616</v>
      </c>
      <c r="J118" s="30">
        <f>(J55*'Градостроительная модель'!$E$42+J54*'Градостроительная модель'!$E$46)*($D$102)*J18+J53*($D$103)*J18+(J51+J52)*($D$104)*J18</f>
        <v>125.87899723605608</v>
      </c>
      <c r="K118" s="30">
        <f>(K55*'Градостроительная модель'!$E$42+K54*'Градостроительная модель'!$E$46)*($D$102)*K18+K53*($D$103)*K18+(K51+K52)*($D$104)*K18</f>
        <v>130.91415712549832</v>
      </c>
      <c r="L118" s="30">
        <f>(L55*'Градостроительная модель'!$E$42+L54*'Градостроительная модель'!$E$46)*($D$102)*L18+L53*($D$103)*L18+(L51+L52)*($D$104)*L18</f>
        <v>136.15072341051828</v>
      </c>
      <c r="M118" s="30">
        <f>(M55*'Градостроительная модель'!$E$42+M54*'Градостроительная модель'!$E$46)*($D$102)*M18+M53*($D$103)*M18+(M51+M52)*($D$104)*M18</f>
        <v>141.59675234693901</v>
      </c>
      <c r="N118" s="30">
        <f>(N55*'Градостроительная модель'!$E$42+N54*'Градостроительная модель'!$E$46)*($D$102)*N18+N53*($D$103)*N18+(N51+N52)*($D$104)*N18</f>
        <v>0</v>
      </c>
    </row>
    <row r="119" spans="1:14" s="24" customFormat="1" ht="60" customHeight="1" x14ac:dyDescent="0.25">
      <c r="A119" s="105" t="s">
        <v>572</v>
      </c>
      <c r="B119" s="104" t="s">
        <v>507</v>
      </c>
      <c r="C119" s="343" t="s">
        <v>20</v>
      </c>
      <c r="D119" s="345">
        <f>'Калькулятор чувствительности'!D55</f>
        <v>100</v>
      </c>
      <c r="F119" s="30"/>
      <c r="G119" s="30"/>
      <c r="H119" s="30"/>
      <c r="I119" s="30"/>
      <c r="J119" s="30"/>
      <c r="K119" s="30"/>
      <c r="L119" s="30"/>
      <c r="M119" s="30"/>
      <c r="N119" s="30"/>
    </row>
    <row r="120" spans="1:14" ht="20.25" x14ac:dyDescent="0.3">
      <c r="A120" s="380" t="s">
        <v>32</v>
      </c>
      <c r="B120" s="381"/>
      <c r="C120" s="381"/>
      <c r="D120" s="382" t="s">
        <v>274</v>
      </c>
      <c r="E120" s="391"/>
      <c r="F120" s="391"/>
      <c r="G120" s="391"/>
      <c r="H120" s="391"/>
      <c r="I120" s="391"/>
      <c r="J120" s="391"/>
      <c r="K120" s="391"/>
      <c r="L120" s="391"/>
      <c r="M120" s="391"/>
      <c r="N120" s="391"/>
    </row>
    <row r="121" spans="1:14" x14ac:dyDescent="0.25">
      <c r="A121" s="10" t="s">
        <v>278</v>
      </c>
      <c r="B121" s="19" t="s">
        <v>19</v>
      </c>
      <c r="C121" s="19" t="s">
        <v>20</v>
      </c>
      <c r="D121" s="30">
        <f>SUM(E121:N121)</f>
        <v>6507.5091421414627</v>
      </c>
      <c r="E121" s="326">
        <f t="shared" ref="E121:N121" si="67">IF((E18-E67-E70-E84-E76-E85-E71-E80-E86)*E41&gt;0,(E18-E67-E70-E84-E76-E85-E71-E80-E86)*E41,0)</f>
        <v>0</v>
      </c>
      <c r="F121" s="326">
        <f t="shared" si="67"/>
        <v>0</v>
      </c>
      <c r="G121" s="326">
        <f t="shared" si="67"/>
        <v>0</v>
      </c>
      <c r="H121" s="326">
        <f t="shared" si="67"/>
        <v>786.10002975129612</v>
      </c>
      <c r="I121" s="326">
        <f t="shared" si="67"/>
        <v>1056.3272495333379</v>
      </c>
      <c r="J121" s="326">
        <f t="shared" si="67"/>
        <v>1098.5803395146713</v>
      </c>
      <c r="K121" s="326">
        <f t="shared" si="67"/>
        <v>1142.5235530952582</v>
      </c>
      <c r="L121" s="326">
        <f t="shared" si="67"/>
        <v>1188.2244952190686</v>
      </c>
      <c r="M121" s="326">
        <f t="shared" si="67"/>
        <v>1235.7534750278312</v>
      </c>
      <c r="N121" s="326">
        <f t="shared" si="67"/>
        <v>0</v>
      </c>
    </row>
    <row r="122" spans="1:14" x14ac:dyDescent="0.25">
      <c r="A122" s="10" t="s">
        <v>39</v>
      </c>
      <c r="B122" s="19" t="s">
        <v>19</v>
      </c>
      <c r="C122" s="19" t="s">
        <v>20</v>
      </c>
      <c r="D122" s="30">
        <f t="shared" ref="D122:D124" si="68">SUM(E122:N122)</f>
        <v>1302.5336946198311</v>
      </c>
      <c r="E122" s="30">
        <f t="shared" ref="E122:N122" si="69">E28*E46</f>
        <v>0</v>
      </c>
      <c r="F122" s="30">
        <f t="shared" si="69"/>
        <v>0</v>
      </c>
      <c r="G122" s="30">
        <f t="shared" si="69"/>
        <v>0</v>
      </c>
      <c r="H122" s="30">
        <f t="shared" si="69"/>
        <v>196.37245788160007</v>
      </c>
      <c r="I122" s="30">
        <f t="shared" si="69"/>
        <v>204.22735619686406</v>
      </c>
      <c r="J122" s="30">
        <f t="shared" si="69"/>
        <v>212.39645044473866</v>
      </c>
      <c r="K122" s="30">
        <f t="shared" si="69"/>
        <v>220.89230846252821</v>
      </c>
      <c r="L122" s="30">
        <f t="shared" si="69"/>
        <v>229.72800080102934</v>
      </c>
      <c r="M122" s="30">
        <f t="shared" si="69"/>
        <v>238.91712083307053</v>
      </c>
      <c r="N122" s="30">
        <f t="shared" si="69"/>
        <v>0</v>
      </c>
    </row>
    <row r="123" spans="1:14" x14ac:dyDescent="0.25">
      <c r="A123" s="10" t="s">
        <v>35</v>
      </c>
      <c r="B123" s="19" t="s">
        <v>19</v>
      </c>
      <c r="C123" s="19" t="s">
        <v>20</v>
      </c>
      <c r="D123" s="30">
        <f t="shared" si="68"/>
        <v>2372.2559109751992</v>
      </c>
      <c r="E123" s="30">
        <f t="shared" ref="E123:N123" si="70">E20*E47+E22*E47</f>
        <v>0</v>
      </c>
      <c r="F123" s="30">
        <f t="shared" si="70"/>
        <v>0</v>
      </c>
      <c r="G123" s="30">
        <f t="shared" si="70"/>
        <v>0</v>
      </c>
      <c r="H123" s="30">
        <f t="shared" si="70"/>
        <v>176.88261427200001</v>
      </c>
      <c r="I123" s="30">
        <f t="shared" si="70"/>
        <v>183.95791884288002</v>
      </c>
      <c r="J123" s="30">
        <f t="shared" si="70"/>
        <v>191.31623559659522</v>
      </c>
      <c r="K123" s="30">
        <f t="shared" si="70"/>
        <v>198.96888502045906</v>
      </c>
      <c r="L123" s="30">
        <f t="shared" si="70"/>
        <v>206.92764042127743</v>
      </c>
      <c r="M123" s="30">
        <f t="shared" si="70"/>
        <v>215.20474603812855</v>
      </c>
      <c r="N123" s="30">
        <f t="shared" si="70"/>
        <v>1198.9978707838591</v>
      </c>
    </row>
    <row r="124" spans="1:14" x14ac:dyDescent="0.25">
      <c r="A124" s="10" t="s">
        <v>577</v>
      </c>
      <c r="B124" s="19" t="s">
        <v>19</v>
      </c>
      <c r="C124" s="19" t="s">
        <v>20</v>
      </c>
      <c r="D124" s="30">
        <f t="shared" si="68"/>
        <v>10182.298747736495</v>
      </c>
      <c r="E124" s="30">
        <f>SUM(E121:E123)</f>
        <v>0</v>
      </c>
      <c r="F124" s="30">
        <f t="shared" ref="F124:N124" si="71">SUM(F121:F123)</f>
        <v>0</v>
      </c>
      <c r="G124" s="30">
        <f t="shared" si="71"/>
        <v>0</v>
      </c>
      <c r="H124" s="30">
        <f t="shared" si="71"/>
        <v>1159.3551019048962</v>
      </c>
      <c r="I124" s="30">
        <f t="shared" si="71"/>
        <v>1444.5125245730819</v>
      </c>
      <c r="J124" s="30">
        <f t="shared" si="71"/>
        <v>1502.293025556005</v>
      </c>
      <c r="K124" s="30">
        <f t="shared" si="71"/>
        <v>1562.3847465782455</v>
      </c>
      <c r="L124" s="30">
        <f t="shared" si="71"/>
        <v>1624.8801364413753</v>
      </c>
      <c r="M124" s="30">
        <f t="shared" si="71"/>
        <v>1689.8753418990304</v>
      </c>
      <c r="N124" s="30">
        <f t="shared" si="71"/>
        <v>1198.9978707838591</v>
      </c>
    </row>
    <row r="125" spans="1:14" ht="20.25" x14ac:dyDescent="0.3">
      <c r="A125" s="380" t="s">
        <v>33</v>
      </c>
      <c r="B125" s="378"/>
      <c r="C125" s="378"/>
      <c r="D125" s="378"/>
      <c r="E125" s="390"/>
      <c r="F125" s="390"/>
      <c r="G125" s="390"/>
      <c r="H125" s="390"/>
      <c r="I125" s="390"/>
      <c r="J125" s="390"/>
      <c r="K125" s="390"/>
      <c r="L125" s="390"/>
      <c r="M125" s="390"/>
      <c r="N125" s="390"/>
    </row>
    <row r="126" spans="1:14" x14ac:dyDescent="0.25">
      <c r="A126" s="121" t="s">
        <v>281</v>
      </c>
      <c r="B126" s="19"/>
      <c r="C126" s="19"/>
      <c r="D126" s="19"/>
      <c r="E126" s="30"/>
      <c r="F126" s="30"/>
      <c r="G126" s="30"/>
      <c r="H126" s="30"/>
      <c r="I126" s="30"/>
      <c r="J126" s="30"/>
      <c r="K126" s="30"/>
      <c r="L126" s="30"/>
      <c r="M126" s="30"/>
      <c r="N126" s="30"/>
    </row>
    <row r="127" spans="1:14" ht="54" customHeight="1" x14ac:dyDescent="0.25">
      <c r="A127" s="122" t="s">
        <v>36</v>
      </c>
      <c r="B127" s="104" t="s">
        <v>507</v>
      </c>
      <c r="C127" s="123" t="s">
        <v>279</v>
      </c>
      <c r="D127" s="138">
        <v>0.15</v>
      </c>
      <c r="E127" s="30"/>
      <c r="F127" s="30"/>
      <c r="G127" s="30"/>
      <c r="H127" s="30"/>
      <c r="I127" s="30"/>
      <c r="J127" s="30"/>
      <c r="K127" s="30"/>
      <c r="L127" s="30"/>
      <c r="M127" s="30"/>
      <c r="N127" s="30"/>
    </row>
    <row r="128" spans="1:14" s="24" customFormat="1" ht="52.15" customHeight="1" x14ac:dyDescent="0.25">
      <c r="A128" s="122" t="s">
        <v>376</v>
      </c>
      <c r="B128" s="104" t="s">
        <v>507</v>
      </c>
      <c r="C128" s="123" t="s">
        <v>280</v>
      </c>
      <c r="D128" s="138">
        <v>0.12</v>
      </c>
      <c r="E128" s="30"/>
      <c r="F128" s="30"/>
      <c r="G128" s="30"/>
      <c r="H128" s="30"/>
      <c r="I128" s="30"/>
      <c r="J128" s="30"/>
      <c r="K128" s="30"/>
      <c r="L128" s="30"/>
      <c r="M128" s="30"/>
      <c r="N128" s="30"/>
    </row>
    <row r="129" spans="1:15" s="24" customFormat="1" x14ac:dyDescent="0.25">
      <c r="A129" s="10" t="s">
        <v>34</v>
      </c>
      <c r="B129" s="19" t="s">
        <v>19</v>
      </c>
      <c r="C129" s="19" t="s">
        <v>20</v>
      </c>
      <c r="D129" s="30">
        <f>SUM(E129:N129)</f>
        <v>6175.8786287377798</v>
      </c>
      <c r="E129" s="30">
        <f t="shared" ref="E129:N129" si="72">E105</f>
        <v>769.74799359999997</v>
      </c>
      <c r="F129" s="30">
        <f t="shared" si="72"/>
        <v>217.14963097814532</v>
      </c>
      <c r="G129" s="30">
        <f t="shared" si="72"/>
        <v>452.75944714835151</v>
      </c>
      <c r="H129" s="30">
        <f t="shared" si="72"/>
        <v>731.45806943463242</v>
      </c>
      <c r="I129" s="30">
        <f t="shared" si="72"/>
        <v>736.8357927785853</v>
      </c>
      <c r="J129" s="30">
        <f t="shared" si="72"/>
        <v>765.5848805370963</v>
      </c>
      <c r="K129" s="30">
        <f t="shared" si="72"/>
        <v>768.66213901019205</v>
      </c>
      <c r="L129" s="30">
        <f t="shared" si="72"/>
        <v>543.54852417648203</v>
      </c>
      <c r="M129" s="30">
        <f t="shared" si="72"/>
        <v>297.67806925417597</v>
      </c>
      <c r="N129" s="30">
        <f t="shared" si="72"/>
        <v>892.45408182011909</v>
      </c>
    </row>
    <row r="130" spans="1:15" x14ac:dyDescent="0.25">
      <c r="A130" s="10" t="s">
        <v>36</v>
      </c>
      <c r="B130" s="19" t="s">
        <v>19</v>
      </c>
      <c r="C130" s="19" t="s">
        <v>20</v>
      </c>
      <c r="D130" s="30">
        <f>SUM(E130:N130)</f>
        <v>215.94856075897451</v>
      </c>
      <c r="E130" s="326">
        <f>IF(E129&lt;=E131,0,IF($D$127*E129&lt;E129-E131,$D$127*E129,E129-E131))</f>
        <v>115.46219903999999</v>
      </c>
      <c r="F130" s="326">
        <f>IF(F129&lt;=F131,0,IF($D$127*F129&lt;F129-F131,$D$127*F129,F129-F131))</f>
        <v>32.572444646721799</v>
      </c>
      <c r="G130" s="326">
        <f t="shared" ref="G130:N130" si="73">IF(G129&lt;=G131,0,IF($D$127*G129&lt;G129-G131,$D$127*G129,G129-G131))</f>
        <v>67.91391707225273</v>
      </c>
      <c r="H130" s="326">
        <f t="shared" si="73"/>
        <v>0</v>
      </c>
      <c r="I130" s="326">
        <f>IF(I129&lt;=I131,0,IF($D$127*I129&lt;I129-I131,$D$127*I129,I129-I131))</f>
        <v>0</v>
      </c>
      <c r="J130" s="326">
        <f t="shared" si="73"/>
        <v>0</v>
      </c>
      <c r="K130" s="326">
        <f t="shared" si="73"/>
        <v>0</v>
      </c>
      <c r="L130" s="326">
        <f t="shared" si="73"/>
        <v>0</v>
      </c>
      <c r="M130" s="326">
        <f t="shared" si="73"/>
        <v>0</v>
      </c>
      <c r="N130" s="326">
        <f t="shared" si="73"/>
        <v>0</v>
      </c>
    </row>
    <row r="131" spans="1:15" x14ac:dyDescent="0.25">
      <c r="A131" s="10" t="s">
        <v>576</v>
      </c>
      <c r="B131" s="19" t="s">
        <v>19</v>
      </c>
      <c r="C131" s="19" t="s">
        <v>20</v>
      </c>
      <c r="D131" s="30">
        <f t="shared" ref="D131:D133" si="74">SUM(E131:N131)</f>
        <v>4736.221557011283</v>
      </c>
      <c r="E131" s="326">
        <f t="shared" ref="E131:N131" si="75">IF((E121+E20*E47+E23*E47+E28*E46)&gt;=E129,E129,E121+E20*E47+E23*E47+E28*E46)</f>
        <v>0</v>
      </c>
      <c r="F131" s="326">
        <f t="shared" si="75"/>
        <v>0</v>
      </c>
      <c r="G131" s="326">
        <f t="shared" si="75"/>
        <v>0</v>
      </c>
      <c r="H131" s="326">
        <f t="shared" si="75"/>
        <v>731.45806943463242</v>
      </c>
      <c r="I131" s="326">
        <f t="shared" si="75"/>
        <v>736.8357927785853</v>
      </c>
      <c r="J131" s="326">
        <f t="shared" si="75"/>
        <v>765.5848805370963</v>
      </c>
      <c r="K131" s="326">
        <f t="shared" si="75"/>
        <v>768.66213901019205</v>
      </c>
      <c r="L131" s="326">
        <f t="shared" si="75"/>
        <v>543.54852417648203</v>
      </c>
      <c r="M131" s="326">
        <f t="shared" si="75"/>
        <v>297.67806925417597</v>
      </c>
      <c r="N131" s="326">
        <f t="shared" si="75"/>
        <v>892.45408182011909</v>
      </c>
    </row>
    <row r="132" spans="1:15" x14ac:dyDescent="0.25">
      <c r="A132" s="10" t="s">
        <v>573</v>
      </c>
      <c r="B132" s="19" t="s">
        <v>19</v>
      </c>
      <c r="C132" s="19" t="s">
        <v>20</v>
      </c>
      <c r="D132" s="30">
        <f t="shared" si="74"/>
        <v>1194.8797109675222</v>
      </c>
      <c r="E132" s="326">
        <f>IF(E129-E130-E131-E134&gt;0,E129-E130-E131-E134,0)</f>
        <v>625.45699456</v>
      </c>
      <c r="F132" s="326">
        <f t="shared" ref="F132:N132" si="76">IF(F129-F130-F131-F134&gt;0,F129-F130-F131-F134,0)</f>
        <v>184.57718633142352</v>
      </c>
      <c r="G132" s="326">
        <f t="shared" si="76"/>
        <v>384.84553007609878</v>
      </c>
      <c r="H132" s="326">
        <f t="shared" si="76"/>
        <v>0</v>
      </c>
      <c r="I132" s="326">
        <f t="shared" si="76"/>
        <v>0</v>
      </c>
      <c r="J132" s="326">
        <f t="shared" si="76"/>
        <v>0</v>
      </c>
      <c r="K132" s="326">
        <f t="shared" si="76"/>
        <v>0</v>
      </c>
      <c r="L132" s="326">
        <f t="shared" si="76"/>
        <v>0</v>
      </c>
      <c r="M132" s="326">
        <f t="shared" si="76"/>
        <v>0</v>
      </c>
      <c r="N132" s="326">
        <f t="shared" si="76"/>
        <v>0</v>
      </c>
    </row>
    <row r="133" spans="1:15" x14ac:dyDescent="0.25">
      <c r="A133" s="10" t="s">
        <v>574</v>
      </c>
      <c r="B133" s="19" t="s">
        <v>19</v>
      </c>
      <c r="C133" s="19" t="s">
        <v>20</v>
      </c>
      <c r="D133" s="30">
        <f t="shared" si="74"/>
        <v>143.38556531610266</v>
      </c>
      <c r="E133" s="30">
        <f>$D$128*E132</f>
        <v>75.054839347200001</v>
      </c>
      <c r="F133" s="30">
        <f t="shared" ref="F133:N133" si="77">$D$128*F132</f>
        <v>22.149262359770823</v>
      </c>
      <c r="G133" s="30">
        <f t="shared" si="77"/>
        <v>46.181463609131853</v>
      </c>
      <c r="H133" s="30">
        <f t="shared" si="77"/>
        <v>0</v>
      </c>
      <c r="I133" s="30">
        <f t="shared" si="77"/>
        <v>0</v>
      </c>
      <c r="J133" s="30">
        <f t="shared" si="77"/>
        <v>0</v>
      </c>
      <c r="K133" s="30">
        <f t="shared" si="77"/>
        <v>0</v>
      </c>
      <c r="L133" s="30">
        <f t="shared" si="77"/>
        <v>0</v>
      </c>
      <c r="M133" s="30">
        <f t="shared" si="77"/>
        <v>0</v>
      </c>
      <c r="N133" s="30">
        <f t="shared" si="77"/>
        <v>0</v>
      </c>
    </row>
    <row r="134" spans="1:15" ht="22.9" customHeight="1" x14ac:dyDescent="0.25">
      <c r="A134" s="10" t="s">
        <v>575</v>
      </c>
      <c r="B134" s="19" t="s">
        <v>19</v>
      </c>
      <c r="C134" s="23" t="str">
        <f>C97</f>
        <v>млн руб.</v>
      </c>
      <c r="D134" s="30">
        <f>SUM(E134:N134)</f>
        <v>83.957214781440001</v>
      </c>
      <c r="E134" s="214">
        <f t="shared" ref="E134:N134" si="78">E97+E99</f>
        <v>28.828800000000001</v>
      </c>
      <c r="F134" s="214">
        <f t="shared" si="78"/>
        <v>0</v>
      </c>
      <c r="G134" s="214">
        <f t="shared" si="78"/>
        <v>0</v>
      </c>
      <c r="H134" s="214">
        <f t="shared" si="78"/>
        <v>55.128414781439993</v>
      </c>
      <c r="I134" s="214">
        <f t="shared" si="78"/>
        <v>0</v>
      </c>
      <c r="J134" s="214">
        <f t="shared" si="78"/>
        <v>0</v>
      </c>
      <c r="K134" s="214">
        <f t="shared" si="78"/>
        <v>0</v>
      </c>
      <c r="L134" s="214">
        <f t="shared" si="78"/>
        <v>0</v>
      </c>
      <c r="M134" s="214">
        <f t="shared" si="78"/>
        <v>0</v>
      </c>
      <c r="N134" s="214">
        <f t="shared" si="78"/>
        <v>0</v>
      </c>
    </row>
    <row r="135" spans="1:15" ht="31.15" customHeight="1" x14ac:dyDescent="0.25">
      <c r="A135" s="10" t="s">
        <v>578</v>
      </c>
      <c r="B135" s="19" t="s">
        <v>19</v>
      </c>
      <c r="C135" s="19" t="s">
        <v>20</v>
      </c>
      <c r="D135" s="30">
        <f>SUM(E135:N135)</f>
        <v>6319.2641940538824</v>
      </c>
      <c r="E135" s="30">
        <f>E129+E133</f>
        <v>844.80283294719993</v>
      </c>
      <c r="F135" s="30">
        <f t="shared" ref="F135:N135" si="79">F129+F133</f>
        <v>239.29889333791616</v>
      </c>
      <c r="G135" s="30">
        <f t="shared" si="79"/>
        <v>498.94091075748338</v>
      </c>
      <c r="H135" s="30">
        <f t="shared" si="79"/>
        <v>731.45806943463242</v>
      </c>
      <c r="I135" s="30">
        <f t="shared" si="79"/>
        <v>736.8357927785853</v>
      </c>
      <c r="J135" s="30">
        <f t="shared" si="79"/>
        <v>765.5848805370963</v>
      </c>
      <c r="K135" s="30">
        <f t="shared" si="79"/>
        <v>768.66213901019205</v>
      </c>
      <c r="L135" s="30">
        <f t="shared" si="79"/>
        <v>543.54852417648203</v>
      </c>
      <c r="M135" s="30">
        <f t="shared" si="79"/>
        <v>297.67806925417597</v>
      </c>
      <c r="N135" s="30">
        <f t="shared" si="79"/>
        <v>892.45408182011909</v>
      </c>
    </row>
    <row r="136" spans="1:15" s="24" customFormat="1" ht="20.25" x14ac:dyDescent="0.3">
      <c r="A136" s="380" t="s">
        <v>596</v>
      </c>
      <c r="B136" s="378"/>
      <c r="C136" s="378"/>
      <c r="D136" s="379" t="s">
        <v>274</v>
      </c>
      <c r="E136" s="378"/>
      <c r="F136" s="378"/>
      <c r="G136" s="378"/>
      <c r="H136" s="378"/>
      <c r="I136" s="378"/>
      <c r="J136" s="378"/>
      <c r="K136" s="378"/>
      <c r="L136" s="378"/>
      <c r="M136" s="378"/>
      <c r="N136" s="378"/>
    </row>
    <row r="137" spans="1:15" s="24" customFormat="1" x14ac:dyDescent="0.25">
      <c r="A137" s="3" t="s">
        <v>41</v>
      </c>
      <c r="B137" s="19" t="s">
        <v>19</v>
      </c>
      <c r="C137" s="19" t="s">
        <v>20</v>
      </c>
      <c r="D137" s="21">
        <f t="shared" ref="D137:D142" si="80">SUM(E137:N137)</f>
        <v>297.90958504003743</v>
      </c>
      <c r="E137" s="21">
        <v>0</v>
      </c>
      <c r="F137" s="21">
        <f>E141</f>
        <v>2.3296000000000006</v>
      </c>
      <c r="G137" s="21">
        <f>F141</f>
        <v>36.797795393356402</v>
      </c>
      <c r="H137" s="21">
        <f>G141</f>
        <v>108.66437430579316</v>
      </c>
      <c r="I137" s="21">
        <f>H141</f>
        <v>150.11781534088783</v>
      </c>
      <c r="J137" s="21">
        <v>0</v>
      </c>
      <c r="K137" s="21">
        <v>0</v>
      </c>
      <c r="L137" s="21">
        <v>0</v>
      </c>
      <c r="M137" s="21">
        <v>0</v>
      </c>
      <c r="N137" s="21">
        <v>0</v>
      </c>
      <c r="O137" s="346"/>
    </row>
    <row r="138" spans="1:15" s="24" customFormat="1" x14ac:dyDescent="0.25">
      <c r="A138" s="3" t="s">
        <v>37</v>
      </c>
      <c r="B138" s="19" t="s">
        <v>19</v>
      </c>
      <c r="C138" s="19" t="s">
        <v>20</v>
      </c>
      <c r="D138" s="21">
        <f t="shared" si="80"/>
        <v>860.44557383139363</v>
      </c>
      <c r="E138" s="18">
        <f>'Исходные данные'!$D$95/(1+'Исходные данные'!$D$95)*SUM(E106:E115)</f>
        <v>2.3296000000000006</v>
      </c>
      <c r="F138" s="18">
        <f>'Исходные данные'!$D$95/(1+'Исходные данные'!$D$95)*SUM(F106:F115)</f>
        <v>34.468195393356403</v>
      </c>
      <c r="G138" s="18">
        <f>'Исходные данные'!$D$95/(1+'Исходные данные'!$D$95)*SUM(G106:G115)</f>
        <v>71.866578912436765</v>
      </c>
      <c r="H138" s="18">
        <f>'Исходные данные'!$D$95/(1+'Исходные данные'!$D$95)*SUM(H106:H115)</f>
        <v>116.10445546581468</v>
      </c>
      <c r="I138" s="18">
        <f>'Исходные данные'!$D$95/(1+'Исходные данные'!$D$95)*SUM(I106:I115)</f>
        <v>116.95806234580721</v>
      </c>
      <c r="J138" s="18">
        <f>'Исходные данные'!$D$95/(1+'Исходные данные'!$D$95)*SUM(J106:J115)</f>
        <v>121.52140960906291</v>
      </c>
      <c r="K138" s="18">
        <f>'Исходные данные'!$D$95/(1+'Исходные данные'!$D$95)*SUM(K106:K115)</f>
        <v>122.00986333495112</v>
      </c>
      <c r="L138" s="18">
        <f>'Исходные данные'!$D$95/(1+'Исходные данные'!$D$95)*SUM(L106:L115)</f>
        <v>86.27754352007652</v>
      </c>
      <c r="M138" s="18">
        <f>'Исходные данные'!$D$95/(1+'Исходные данные'!$D$95)*SUM(M106:M115)</f>
        <v>47.250487183202537</v>
      </c>
      <c r="N138" s="18">
        <f>'Исходные данные'!$D$95/(1+'Исходные данные'!$D$95)*SUM(N106:N115)</f>
        <v>141.6593780666856</v>
      </c>
    </row>
    <row r="139" spans="1:15" s="24" customFormat="1" x14ac:dyDescent="0.25">
      <c r="A139" s="3" t="s">
        <v>38</v>
      </c>
      <c r="B139" s="19" t="s">
        <v>19</v>
      </c>
      <c r="C139" s="19" t="s">
        <v>20</v>
      </c>
      <c r="D139" s="21">
        <f t="shared" si="80"/>
        <v>734.95792111900607</v>
      </c>
      <c r="E139" s="18">
        <f>'Исходные данные'!$D$95*(E122+E123)</f>
        <v>0</v>
      </c>
      <c r="F139" s="18">
        <f>'Исходные данные'!$D$95*(F122+F123)</f>
        <v>0</v>
      </c>
      <c r="G139" s="18">
        <f>'Исходные данные'!$D$95*(G122+G123)</f>
        <v>0</v>
      </c>
      <c r="H139" s="18">
        <f>'Исходные данные'!$D$95*(H122+H123)</f>
        <v>74.651014430720011</v>
      </c>
      <c r="I139" s="18">
        <f>'Исходные данные'!$D$95*(I122+I123)</f>
        <v>77.637055007948817</v>
      </c>
      <c r="J139" s="18">
        <f>'Исходные данные'!$D$95*(J122+J123)</f>
        <v>80.742537208266782</v>
      </c>
      <c r="K139" s="18">
        <f>'Исходные данные'!$D$95*(K122+K123)</f>
        <v>83.972238696597458</v>
      </c>
      <c r="L139" s="18">
        <f>'Исходные данные'!$D$95*(L122+L123)</f>
        <v>87.331128244461354</v>
      </c>
      <c r="M139" s="18">
        <f>'Исходные данные'!$D$95*(M122+M123)</f>
        <v>90.824373374239826</v>
      </c>
      <c r="N139" s="18">
        <f>'Исходные данные'!$D$95*(N122+N123)</f>
        <v>239.79957415677183</v>
      </c>
    </row>
    <row r="140" spans="1:15" s="24" customFormat="1" x14ac:dyDescent="0.25">
      <c r="A140" s="3" t="s">
        <v>40</v>
      </c>
      <c r="B140" s="19" t="s">
        <v>19</v>
      </c>
      <c r="C140" s="19" t="s">
        <v>20</v>
      </c>
      <c r="D140" s="21">
        <f t="shared" si="80"/>
        <v>-125.48765271238764</v>
      </c>
      <c r="E140" s="18">
        <f t="shared" ref="E140:N140" si="81">E139-E138</f>
        <v>-2.3296000000000006</v>
      </c>
      <c r="F140" s="18">
        <f t="shared" si="81"/>
        <v>-34.468195393356403</v>
      </c>
      <c r="G140" s="18">
        <f t="shared" si="81"/>
        <v>-71.866578912436765</v>
      </c>
      <c r="H140" s="18">
        <f t="shared" si="81"/>
        <v>-41.45344103509467</v>
      </c>
      <c r="I140" s="18">
        <f t="shared" si="81"/>
        <v>-39.32100733785839</v>
      </c>
      <c r="J140" s="18">
        <f t="shared" si="81"/>
        <v>-40.778872400796132</v>
      </c>
      <c r="K140" s="18">
        <f t="shared" si="81"/>
        <v>-38.037624638353662</v>
      </c>
      <c r="L140" s="18">
        <f t="shared" si="81"/>
        <v>1.0535847243848337</v>
      </c>
      <c r="M140" s="18">
        <f t="shared" si="81"/>
        <v>43.573886191037289</v>
      </c>
      <c r="N140" s="18">
        <f t="shared" si="81"/>
        <v>98.140196090086221</v>
      </c>
    </row>
    <row r="141" spans="1:15" s="24" customFormat="1" x14ac:dyDescent="0.25">
      <c r="A141" s="3" t="s">
        <v>42</v>
      </c>
      <c r="B141" s="19" t="s">
        <v>19</v>
      </c>
      <c r="C141" s="19" t="s">
        <v>20</v>
      </c>
      <c r="D141" s="21">
        <f t="shared" si="80"/>
        <v>423.3972377524251</v>
      </c>
      <c r="E141" s="21">
        <f t="shared" ref="E141:N141" si="82">E137-E140</f>
        <v>2.3296000000000006</v>
      </c>
      <c r="F141" s="21">
        <f t="shared" si="82"/>
        <v>36.797795393356402</v>
      </c>
      <c r="G141" s="21">
        <f t="shared" si="82"/>
        <v>108.66437430579316</v>
      </c>
      <c r="H141" s="21">
        <f t="shared" si="82"/>
        <v>150.11781534088783</v>
      </c>
      <c r="I141" s="21">
        <f t="shared" si="82"/>
        <v>189.43882267874622</v>
      </c>
      <c r="J141" s="21">
        <f t="shared" si="82"/>
        <v>40.778872400796132</v>
      </c>
      <c r="K141" s="21">
        <f t="shared" si="82"/>
        <v>38.037624638353662</v>
      </c>
      <c r="L141" s="21">
        <f t="shared" si="82"/>
        <v>-1.0535847243848337</v>
      </c>
      <c r="M141" s="21">
        <f t="shared" si="82"/>
        <v>-43.573886191037289</v>
      </c>
      <c r="N141" s="21">
        <f t="shared" si="82"/>
        <v>-98.140196090086221</v>
      </c>
    </row>
    <row r="142" spans="1:15" s="24" customFormat="1" x14ac:dyDescent="0.25">
      <c r="A142" s="3" t="s">
        <v>43</v>
      </c>
      <c r="B142" s="19" t="s">
        <v>19</v>
      </c>
      <c r="C142" s="19" t="s">
        <v>20</v>
      </c>
      <c r="D142" s="21">
        <f t="shared" si="80"/>
        <v>142.76766700550834</v>
      </c>
      <c r="E142" s="21">
        <f t="shared" ref="E142:N142" si="83">-MIN(E141,0)</f>
        <v>0</v>
      </c>
      <c r="F142" s="21">
        <f t="shared" si="83"/>
        <v>0</v>
      </c>
      <c r="G142" s="21">
        <f t="shared" si="83"/>
        <v>0</v>
      </c>
      <c r="H142" s="21">
        <f t="shared" si="83"/>
        <v>0</v>
      </c>
      <c r="I142" s="21">
        <f t="shared" si="83"/>
        <v>0</v>
      </c>
      <c r="J142" s="21">
        <f t="shared" si="83"/>
        <v>0</v>
      </c>
      <c r="K142" s="21">
        <f t="shared" si="83"/>
        <v>0</v>
      </c>
      <c r="L142" s="21">
        <f t="shared" si="83"/>
        <v>1.0535847243848337</v>
      </c>
      <c r="M142" s="21">
        <f t="shared" si="83"/>
        <v>43.573886191037289</v>
      </c>
      <c r="N142" s="21">
        <f t="shared" si="83"/>
        <v>98.140196090086221</v>
      </c>
    </row>
    <row r="143" spans="1:15" ht="20.25" x14ac:dyDescent="0.25">
      <c r="A143" s="383" t="s">
        <v>469</v>
      </c>
      <c r="B143" s="384"/>
      <c r="C143" s="384"/>
      <c r="D143" s="385" t="s">
        <v>274</v>
      </c>
      <c r="E143" s="386">
        <v>0</v>
      </c>
      <c r="F143" s="386">
        <v>1</v>
      </c>
      <c r="G143" s="386">
        <v>2</v>
      </c>
      <c r="H143" s="386">
        <v>3</v>
      </c>
      <c r="I143" s="386">
        <v>4</v>
      </c>
      <c r="J143" s="386">
        <v>5</v>
      </c>
      <c r="K143" s="386">
        <v>6</v>
      </c>
      <c r="L143" s="386">
        <v>7</v>
      </c>
      <c r="M143" s="386">
        <v>8</v>
      </c>
      <c r="N143" s="387">
        <v>9</v>
      </c>
      <c r="O143" s="388"/>
    </row>
    <row r="144" spans="1:15" x14ac:dyDescent="0.25">
      <c r="A144" s="28" t="s">
        <v>489</v>
      </c>
      <c r="B144" s="4" t="s">
        <v>19</v>
      </c>
      <c r="C144" s="4" t="s">
        <v>20</v>
      </c>
      <c r="D144" s="21">
        <f>SUM(E144:N144)</f>
        <v>4233.0598963355196</v>
      </c>
      <c r="E144" s="21">
        <f>E135/(1+'Калькулятор чувствительности'!$D$47)^E143</f>
        <v>844.80283294719993</v>
      </c>
      <c r="F144" s="21">
        <f>F135/(1+'Калькулятор чувствительности'!$D$47)^F143</f>
        <v>217.54444848901466</v>
      </c>
      <c r="G144" s="21">
        <f>G135/(1+'Калькулятор чувствительности'!$D$47)^G143</f>
        <v>412.3478601301515</v>
      </c>
      <c r="H144" s="21">
        <f>H135/(1+'Калькулятор чувствительности'!$D$47)^H143</f>
        <v>549.55527380513308</v>
      </c>
      <c r="I144" s="21">
        <f>I135/(1+'Калькулятор чувствительности'!$D$47)^I143</f>
        <v>503.26876086236263</v>
      </c>
      <c r="J144" s="21">
        <f>J135/(1+'Калькулятор чувствительности'!$D$47)^J143</f>
        <v>475.36797693717892</v>
      </c>
      <c r="K144" s="21">
        <f>K135/(1+'Калькулятор чувствительности'!$D$47)^K143</f>
        <v>433.88973849062592</v>
      </c>
      <c r="L144" s="21">
        <f>L135/(1+'Калькулятор чувствительности'!$D$47)^L143</f>
        <v>278.92633783348117</v>
      </c>
      <c r="M144" s="21">
        <f>M135/(1+'Калькулятор чувствительности'!$D$47)^M143</f>
        <v>138.86901623365716</v>
      </c>
      <c r="N144" s="21">
        <f>N135/(1+'Калькулятор чувствительности'!$D$47)^N143</f>
        <v>378.48765060671508</v>
      </c>
      <c r="O144" s="27"/>
    </row>
    <row r="145" spans="1:15" x14ac:dyDescent="0.25">
      <c r="A145" s="28" t="s">
        <v>379</v>
      </c>
      <c r="B145" s="4" t="s">
        <v>19</v>
      </c>
      <c r="C145" s="4" t="s">
        <v>20</v>
      </c>
      <c r="D145" s="21">
        <f t="shared" ref="D145:D151" si="84">SUM(E145:N145)</f>
        <v>3863.0345536826107</v>
      </c>
      <c r="E145" s="21">
        <f t="shared" ref="E145:N145" si="85">E124-E135</f>
        <v>-844.80283294719993</v>
      </c>
      <c r="F145" s="21">
        <f t="shared" si="85"/>
        <v>-239.29889333791616</v>
      </c>
      <c r="G145" s="21">
        <f t="shared" si="85"/>
        <v>-498.94091075748338</v>
      </c>
      <c r="H145" s="21">
        <f t="shared" si="85"/>
        <v>427.89703247026375</v>
      </c>
      <c r="I145" s="21">
        <f t="shared" si="85"/>
        <v>707.67673179449662</v>
      </c>
      <c r="J145" s="21">
        <f t="shared" si="85"/>
        <v>736.70814501890868</v>
      </c>
      <c r="K145" s="21">
        <f t="shared" si="85"/>
        <v>793.72260756805349</v>
      </c>
      <c r="L145" s="21">
        <f t="shared" si="85"/>
        <v>1081.3316122648932</v>
      </c>
      <c r="M145" s="21">
        <f t="shared" si="85"/>
        <v>1392.1972726448544</v>
      </c>
      <c r="N145" s="21">
        <f t="shared" si="85"/>
        <v>306.54378896373998</v>
      </c>
      <c r="O145" s="27"/>
    </row>
    <row r="146" spans="1:15" x14ac:dyDescent="0.25">
      <c r="A146" s="3" t="s">
        <v>44</v>
      </c>
      <c r="B146" s="4" t="s">
        <v>19</v>
      </c>
      <c r="C146" s="4" t="s">
        <v>20</v>
      </c>
      <c r="D146" s="21">
        <f t="shared" si="84"/>
        <v>3720.2668866771028</v>
      </c>
      <c r="E146" s="21">
        <f t="shared" ref="E146:N146" si="86">E145-E142</f>
        <v>-844.80283294719993</v>
      </c>
      <c r="F146" s="21">
        <f t="shared" si="86"/>
        <v>-239.29889333791616</v>
      </c>
      <c r="G146" s="21">
        <f t="shared" si="86"/>
        <v>-498.94091075748338</v>
      </c>
      <c r="H146" s="21">
        <f t="shared" si="86"/>
        <v>427.89703247026375</v>
      </c>
      <c r="I146" s="21">
        <f t="shared" si="86"/>
        <v>707.67673179449662</v>
      </c>
      <c r="J146" s="21">
        <f t="shared" si="86"/>
        <v>736.70814501890868</v>
      </c>
      <c r="K146" s="21">
        <f t="shared" si="86"/>
        <v>793.72260756805349</v>
      </c>
      <c r="L146" s="21">
        <f t="shared" si="86"/>
        <v>1080.2780275405084</v>
      </c>
      <c r="M146" s="21">
        <f t="shared" si="86"/>
        <v>1348.6233864538171</v>
      </c>
      <c r="N146" s="21">
        <f t="shared" si="86"/>
        <v>208.40359287365376</v>
      </c>
      <c r="O146" s="27"/>
    </row>
    <row r="147" spans="1:15" x14ac:dyDescent="0.25">
      <c r="A147" s="3" t="s">
        <v>45</v>
      </c>
      <c r="B147" s="4" t="s">
        <v>19</v>
      </c>
      <c r="C147" s="4" t="s">
        <v>20</v>
      </c>
      <c r="D147" s="21">
        <f t="shared" si="84"/>
        <v>1018.4936077454591</v>
      </c>
      <c r="E147" s="21">
        <f>IF(SUM($E146)&gt;0,SUM(E146)*'Исходные данные'!$D$96,0)</f>
        <v>0</v>
      </c>
      <c r="F147" s="21">
        <f>IF(SUM($E146:F146)&gt;0,SUM($E146:F146)*'Исходные данные'!$D$96,0)</f>
        <v>0</v>
      </c>
      <c r="G147" s="21">
        <f>IF(SUM($E146:G146)&gt;0,SUM($E146:G146)*'Исходные данные'!$D$96,0)</f>
        <v>0</v>
      </c>
      <c r="H147" s="21">
        <f>IF(SUM($E146:H146)&gt;0,SUM($E146:H146)*'Исходные данные'!$D$96,0)</f>
        <v>0</v>
      </c>
      <c r="I147" s="21">
        <f>IF(SUM($E146:I146)&gt;0,SUM($E146:I146)*'Исходные данные'!$D$96,0)</f>
        <v>0</v>
      </c>
      <c r="J147" s="21">
        <f>IF(SUM($E146:J146)&gt;0,SUM($E146:J146)*'Исходные данные'!$D$96,0)</f>
        <v>57.847854448213916</v>
      </c>
      <c r="K147" s="21">
        <f>IF(SUM($E146:K146)&gt;0,SUM($E146:K146)*'Исходные данные'!$D$96,0)</f>
        <v>216.59237596182462</v>
      </c>
      <c r="L147" s="21">
        <f>IF(SUM($E146:L146)&gt;0,SUM($E146:L146)*'Исходные данные'!$D$96,0)</f>
        <v>432.64798146992638</v>
      </c>
      <c r="M147" s="21">
        <f>'Исходные данные'!$D$96*IF(M146&gt;0,M146,0)</f>
        <v>269.72467729076345</v>
      </c>
      <c r="N147" s="21">
        <f>'Исходные данные'!$D$96*IF(N146&gt;0,N146,0)</f>
        <v>41.680718574730754</v>
      </c>
      <c r="O147" s="27"/>
    </row>
    <row r="148" spans="1:15" x14ac:dyDescent="0.25">
      <c r="A148" s="28" t="s">
        <v>46</v>
      </c>
      <c r="B148" s="4" t="s">
        <v>19</v>
      </c>
      <c r="C148" s="4" t="s">
        <v>20</v>
      </c>
      <c r="D148" s="21">
        <f>SUM(E148:N148)</f>
        <v>2701.7732789316437</v>
      </c>
      <c r="E148" s="21">
        <f>E146-E147</f>
        <v>-844.80283294719993</v>
      </c>
      <c r="F148" s="21">
        <f t="shared" ref="F148:N148" si="87">F146-F147</f>
        <v>-239.29889333791616</v>
      </c>
      <c r="G148" s="21">
        <f t="shared" si="87"/>
        <v>-498.94091075748338</v>
      </c>
      <c r="H148" s="21">
        <f t="shared" si="87"/>
        <v>427.89703247026375</v>
      </c>
      <c r="I148" s="21">
        <f t="shared" si="87"/>
        <v>707.67673179449662</v>
      </c>
      <c r="J148" s="21">
        <f t="shared" si="87"/>
        <v>678.86029057069481</v>
      </c>
      <c r="K148" s="21">
        <f t="shared" si="87"/>
        <v>577.1302316062289</v>
      </c>
      <c r="L148" s="21">
        <f t="shared" si="87"/>
        <v>647.63004607058201</v>
      </c>
      <c r="M148" s="21">
        <f t="shared" si="87"/>
        <v>1078.8987091630538</v>
      </c>
      <c r="N148" s="21">
        <f t="shared" si="87"/>
        <v>166.72287429892302</v>
      </c>
      <c r="O148" s="27"/>
    </row>
    <row r="149" spans="1:15" x14ac:dyDescent="0.25">
      <c r="A149" s="28" t="s">
        <v>380</v>
      </c>
      <c r="B149" s="4" t="s">
        <v>19</v>
      </c>
      <c r="C149" s="4" t="s">
        <v>20</v>
      </c>
      <c r="D149" s="21">
        <f>SUM(E149:N149)</f>
        <v>983.79436182887127</v>
      </c>
      <c r="E149" s="21">
        <f>E148/(1+'Калькулятор чувствительности'!$D$47)^E143</f>
        <v>-844.80283294719993</v>
      </c>
      <c r="F149" s="21">
        <f>F148/(1+'Калькулятор чувствительности'!$D$47)^F143</f>
        <v>-217.54444848901466</v>
      </c>
      <c r="G149" s="21">
        <f>G148/(1+'Калькулятор чувствительности'!$D$47)^G143</f>
        <v>-412.3478601301515</v>
      </c>
      <c r="H149" s="21">
        <f>H148/(1+'Калькулятор чувствительности'!$D$47)^H143</f>
        <v>321.48537375677205</v>
      </c>
      <c r="I149" s="21">
        <f>I148/(1+'Калькулятор чувствительности'!$D$47)^I143</f>
        <v>483.35272986441936</v>
      </c>
      <c r="J149" s="21">
        <f>J148/(1+'Калькулятор чувствительности'!$D$47)^J143</f>
        <v>421.51882979347818</v>
      </c>
      <c r="K149" s="21">
        <f>K148/(1+'Калькулятор чувствительности'!$D$47)^K143</f>
        <v>325.77496998761467</v>
      </c>
      <c r="L149" s="21">
        <f>L148/(1+'Калькулятор чувствительности'!$D$47)^L143</f>
        <v>332.33661575124557</v>
      </c>
      <c r="M149" s="21">
        <f>M148/(1+'Калькулятор чувствительности'!$D$47)^M143</f>
        <v>503.31421032331906</v>
      </c>
      <c r="N149" s="21">
        <f>N148/(1+'Калькулятор чувствительности'!$D$47)^N143</f>
        <v>70.706773918388379</v>
      </c>
      <c r="O149" s="27"/>
    </row>
    <row r="150" spans="1:15" x14ac:dyDescent="0.25">
      <c r="A150" s="3" t="s">
        <v>47</v>
      </c>
      <c r="B150" s="4" t="s">
        <v>19</v>
      </c>
      <c r="C150" s="4" t="s">
        <v>20</v>
      </c>
      <c r="D150" s="21" t="s">
        <v>68</v>
      </c>
      <c r="E150" s="21">
        <f>E149</f>
        <v>-844.80283294719993</v>
      </c>
      <c r="F150" s="21">
        <f t="shared" ref="F150:N150" si="88">F149+E150</f>
        <v>-1062.3472814362146</v>
      </c>
      <c r="G150" s="21">
        <f t="shared" si="88"/>
        <v>-1474.6951415663661</v>
      </c>
      <c r="H150" s="21">
        <f t="shared" si="88"/>
        <v>-1153.209767809594</v>
      </c>
      <c r="I150" s="21">
        <f t="shared" si="88"/>
        <v>-669.85703794517462</v>
      </c>
      <c r="J150" s="21">
        <f t="shared" si="88"/>
        <v>-248.33820815169645</v>
      </c>
      <c r="K150" s="21">
        <f t="shared" si="88"/>
        <v>77.436761835918219</v>
      </c>
      <c r="L150" s="21">
        <f t="shared" si="88"/>
        <v>409.77337758716379</v>
      </c>
      <c r="M150" s="21">
        <f t="shared" si="88"/>
        <v>913.08758791048285</v>
      </c>
      <c r="N150" s="21">
        <f t="shared" si="88"/>
        <v>983.79436182887127</v>
      </c>
      <c r="O150" s="27"/>
    </row>
    <row r="151" spans="1:15" ht="18.75" thickBot="1" x14ac:dyDescent="0.3">
      <c r="A151" s="32" t="s">
        <v>381</v>
      </c>
      <c r="B151" s="29" t="s">
        <v>19</v>
      </c>
      <c r="C151" s="33" t="s">
        <v>20</v>
      </c>
      <c r="D151" s="153">
        <f t="shared" si="84"/>
        <v>6</v>
      </c>
      <c r="E151" s="21">
        <f>IF(AND(E150&gt;=0,C150&lt;0),E143,0)</f>
        <v>0</v>
      </c>
      <c r="F151" s="35">
        <f t="shared" ref="F151:N151" si="89">IF(AND(F150&gt;=0,E150&lt;0),F143,0)</f>
        <v>0</v>
      </c>
      <c r="G151" s="21">
        <f t="shared" si="89"/>
        <v>0</v>
      </c>
      <c r="H151" s="21">
        <f t="shared" si="89"/>
        <v>0</v>
      </c>
      <c r="I151" s="21">
        <f t="shared" si="89"/>
        <v>0</v>
      </c>
      <c r="J151" s="21">
        <f t="shared" si="89"/>
        <v>0</v>
      </c>
      <c r="K151" s="21">
        <f t="shared" si="89"/>
        <v>6</v>
      </c>
      <c r="L151" s="21">
        <f t="shared" si="89"/>
        <v>0</v>
      </c>
      <c r="M151" s="21">
        <f t="shared" si="89"/>
        <v>0</v>
      </c>
      <c r="N151" s="21">
        <f t="shared" si="89"/>
        <v>0</v>
      </c>
      <c r="O151" s="27"/>
    </row>
    <row r="152" spans="1:15" x14ac:dyDescent="0.25">
      <c r="A152" s="271" t="s">
        <v>422</v>
      </c>
      <c r="B152" s="34" t="s">
        <v>19</v>
      </c>
      <c r="C152" s="169" t="s">
        <v>24</v>
      </c>
      <c r="D152" s="359">
        <f>D148/(D135+D118)</f>
        <v>0.38100235965054008</v>
      </c>
      <c r="E152" s="267"/>
      <c r="F152" s="35"/>
      <c r="G152" s="21"/>
      <c r="H152" s="21"/>
      <c r="I152" s="21"/>
      <c r="J152" s="21"/>
      <c r="K152" s="21"/>
      <c r="L152" s="21"/>
      <c r="M152" s="21"/>
      <c r="N152" s="21"/>
    </row>
    <row r="153" spans="1:15" x14ac:dyDescent="0.25">
      <c r="A153" s="360" t="s">
        <v>490</v>
      </c>
      <c r="B153" s="270" t="s">
        <v>19</v>
      </c>
      <c r="C153" s="269" t="s">
        <v>24</v>
      </c>
      <c r="D153" s="361">
        <f>IRR(E148:N148)</f>
        <v>0.22258793961400936</v>
      </c>
      <c r="E153" s="267"/>
      <c r="F153" s="35"/>
      <c r="G153" s="21"/>
      <c r="H153" s="21"/>
      <c r="I153" s="21"/>
      <c r="J153" s="21"/>
      <c r="K153" s="21"/>
      <c r="L153" s="21"/>
      <c r="M153" s="21"/>
      <c r="N153" s="21"/>
    </row>
    <row r="154" spans="1:15" x14ac:dyDescent="0.25">
      <c r="A154" s="362" t="s">
        <v>78</v>
      </c>
      <c r="B154" s="272" t="s">
        <v>19</v>
      </c>
      <c r="C154" s="273" t="s">
        <v>21</v>
      </c>
      <c r="D154" s="363">
        <f>MAX(E151:N151)</f>
        <v>6</v>
      </c>
      <c r="E154" s="267"/>
      <c r="F154" s="35"/>
      <c r="G154" s="21"/>
      <c r="H154" s="21"/>
      <c r="I154" s="21"/>
      <c r="J154" s="21"/>
      <c r="K154" s="21"/>
      <c r="L154" s="21"/>
      <c r="M154" s="21"/>
      <c r="N154" s="21"/>
    </row>
    <row r="155" spans="1:15" x14ac:dyDescent="0.25">
      <c r="A155" s="362" t="s">
        <v>48</v>
      </c>
      <c r="B155" s="272" t="s">
        <v>19</v>
      </c>
      <c r="C155" s="273" t="s">
        <v>20</v>
      </c>
      <c r="D155" s="363">
        <f>D149</f>
        <v>983.79436182887127</v>
      </c>
      <c r="E155" s="267"/>
      <c r="F155" s="35"/>
      <c r="G155" s="21"/>
      <c r="H155" s="21"/>
      <c r="I155" s="21"/>
      <c r="J155" s="21"/>
      <c r="K155" s="21"/>
      <c r="L155" s="21"/>
      <c r="M155" s="21"/>
      <c r="N155" s="21"/>
    </row>
    <row r="156" spans="1:15" x14ac:dyDescent="0.25">
      <c r="A156" s="364" t="s">
        <v>423</v>
      </c>
      <c r="B156" s="272" t="s">
        <v>19</v>
      </c>
      <c r="C156" s="273" t="s">
        <v>24</v>
      </c>
      <c r="D156" s="365">
        <f>D149/D144</f>
        <v>0.23240738045793388</v>
      </c>
      <c r="E156" s="267"/>
      <c r="F156" s="35"/>
      <c r="G156" s="21"/>
      <c r="H156" s="21"/>
      <c r="I156" s="21"/>
      <c r="J156" s="21"/>
      <c r="K156" s="21"/>
      <c r="L156" s="21"/>
      <c r="M156" s="21"/>
      <c r="N156" s="21"/>
    </row>
    <row r="157" spans="1:15" x14ac:dyDescent="0.25">
      <c r="A157" s="364" t="s">
        <v>73</v>
      </c>
      <c r="B157" s="272" t="s">
        <v>19</v>
      </c>
      <c r="C157" s="273" t="s">
        <v>24</v>
      </c>
      <c r="D157" s="365">
        <f>D149/SUM(E157:N157)</f>
        <v>2.9405816134897118</v>
      </c>
      <c r="E157" s="358">
        <f>(E130+E133)/(1+'Исходные данные'!$D$93)^E143</f>
        <v>190.51703838719999</v>
      </c>
      <c r="F157" s="109">
        <f>(F130+F133)/(1+'Исходные данные'!$D$93)^F143</f>
        <v>49.747006369538745</v>
      </c>
      <c r="G157" s="109">
        <f>(G130+G133)/(1+'Исходные данные'!$D$93)^G143</f>
        <v>94.293703042466589</v>
      </c>
      <c r="H157" s="109">
        <f>(H130+H133)/(1+'Исходные данные'!$D$93)^H143</f>
        <v>0</v>
      </c>
      <c r="I157" s="109">
        <f>(I130+I133)/(1+'Исходные данные'!$D$93)^I143</f>
        <v>0</v>
      </c>
      <c r="J157" s="109">
        <f>(J130+J133)/(1+'Исходные данные'!$D$93)^J143</f>
        <v>0</v>
      </c>
      <c r="K157" s="109">
        <f>(K130+K133)/(1+'Исходные данные'!$D$93)^K143</f>
        <v>0</v>
      </c>
      <c r="L157" s="109">
        <f>(L130+L133)/(1+'Исходные данные'!$D$93)^L143</f>
        <v>0</v>
      </c>
      <c r="M157" s="109">
        <f>(M130+M133)/(1+'Исходные данные'!$D$93)^M143</f>
        <v>0</v>
      </c>
      <c r="N157" s="109">
        <f>(N130+N133)/(1+'Исходные данные'!$D$93)^N143</f>
        <v>0</v>
      </c>
    </row>
    <row r="158" spans="1:15" ht="18.75" thickBot="1" x14ac:dyDescent="0.3">
      <c r="A158" s="366" t="s">
        <v>451</v>
      </c>
      <c r="B158" s="367" t="s">
        <v>19</v>
      </c>
      <c r="C158" s="368" t="s">
        <v>24</v>
      </c>
      <c r="D158" s="369">
        <f>D148/(D130+D133)</f>
        <v>7.5188329826684788</v>
      </c>
      <c r="E158" s="268"/>
      <c r="F158" s="35"/>
      <c r="G158" s="21"/>
      <c r="H158" s="21"/>
      <c r="I158" s="21"/>
      <c r="J158" s="21"/>
      <c r="K158" s="21"/>
      <c r="L158" s="21"/>
      <c r="M158" s="21"/>
      <c r="N158" s="21"/>
    </row>
    <row r="159" spans="1:15" ht="40.5" x14ac:dyDescent="0.25">
      <c r="A159" s="376" t="s">
        <v>470</v>
      </c>
      <c r="B159" s="370"/>
      <c r="C159" s="370"/>
      <c r="D159" s="371"/>
      <c r="E159" s="372"/>
      <c r="F159" s="373"/>
      <c r="G159" s="374"/>
      <c r="H159" s="374"/>
      <c r="I159" s="374"/>
      <c r="J159" s="374"/>
      <c r="K159" s="374"/>
      <c r="L159" s="374"/>
      <c r="M159" s="374"/>
      <c r="N159" s="374"/>
    </row>
    <row r="160" spans="1:15" s="348" customFormat="1" x14ac:dyDescent="0.25">
      <c r="A160" s="31" t="s">
        <v>580</v>
      </c>
      <c r="B160" s="39" t="s">
        <v>19</v>
      </c>
      <c r="C160" s="31" t="s">
        <v>20</v>
      </c>
      <c r="D160" s="39">
        <f t="shared" ref="D160:N160" si="90">SUM(D161:D164)</f>
        <v>578.40000000000009</v>
      </c>
      <c r="E160" s="39">
        <f t="shared" si="90"/>
        <v>63.715999999999973</v>
      </c>
      <c r="F160" s="39">
        <f t="shared" si="90"/>
        <v>63.715999999999973</v>
      </c>
      <c r="G160" s="39">
        <f t="shared" si="90"/>
        <v>63.715999999999973</v>
      </c>
      <c r="H160" s="39">
        <f t="shared" si="90"/>
        <v>1251</v>
      </c>
      <c r="I160" s="39">
        <f t="shared" si="90"/>
        <v>2374.5680000000002</v>
      </c>
      <c r="J160" s="39">
        <f t="shared" si="90"/>
        <v>3561.8519999999999</v>
      </c>
      <c r="K160" s="39">
        <f t="shared" si="90"/>
        <v>4749.1360000000004</v>
      </c>
      <c r="L160" s="39">
        <f t="shared" si="90"/>
        <v>5936.42</v>
      </c>
      <c r="M160" s="39">
        <f t="shared" si="90"/>
        <v>7123.7039999999988</v>
      </c>
      <c r="N160" s="39">
        <f t="shared" si="90"/>
        <v>7933.7039999999988</v>
      </c>
    </row>
    <row r="161" spans="1:15" x14ac:dyDescent="0.25">
      <c r="A161" s="3" t="s">
        <v>51</v>
      </c>
      <c r="B161" s="4" t="s">
        <v>19</v>
      </c>
      <c r="C161" s="4" t="s">
        <v>20</v>
      </c>
      <c r="D161" s="21">
        <f>D8*$D$43+D4*$D$44+D6*$D$45</f>
        <v>578.40000000000009</v>
      </c>
      <c r="E161" s="109">
        <f t="shared" ref="E161:N161" si="91">($D$8-E9)*$D$43+($D$4-E5)*$D$44+($D$6-E7)*$D$45</f>
        <v>63.715999999999973</v>
      </c>
      <c r="F161" s="109">
        <f t="shared" si="91"/>
        <v>63.715999999999973</v>
      </c>
      <c r="G161" s="109">
        <f t="shared" si="91"/>
        <v>63.715999999999973</v>
      </c>
      <c r="H161" s="109">
        <f t="shared" si="91"/>
        <v>63.715999999999973</v>
      </c>
      <c r="I161" s="109">
        <f t="shared" si="91"/>
        <v>0</v>
      </c>
      <c r="J161" s="109">
        <f t="shared" si="91"/>
        <v>0</v>
      </c>
      <c r="K161" s="109">
        <f t="shared" si="91"/>
        <v>0</v>
      </c>
      <c r="L161" s="109">
        <f t="shared" si="91"/>
        <v>0</v>
      </c>
      <c r="M161" s="109">
        <f t="shared" si="91"/>
        <v>0</v>
      </c>
      <c r="N161" s="109">
        <f t="shared" si="91"/>
        <v>0</v>
      </c>
    </row>
    <row r="162" spans="1:15" x14ac:dyDescent="0.25">
      <c r="A162" s="3" t="s">
        <v>50</v>
      </c>
      <c r="B162" s="4" t="s">
        <v>19</v>
      </c>
      <c r="C162" s="4" t="s">
        <v>20</v>
      </c>
      <c r="D162" s="4">
        <v>0</v>
      </c>
      <c r="E162" s="21">
        <f t="shared" ref="E162:N162" si="92">E19*$D$41</f>
        <v>0</v>
      </c>
      <c r="F162" s="21">
        <f t="shared" si="92"/>
        <v>0</v>
      </c>
      <c r="G162" s="21">
        <f t="shared" si="92"/>
        <v>0</v>
      </c>
      <c r="H162" s="21">
        <f t="shared" si="92"/>
        <v>868.22399999999993</v>
      </c>
      <c r="I162" s="21">
        <f t="shared" si="92"/>
        <v>1736.4479999999999</v>
      </c>
      <c r="J162" s="21">
        <f t="shared" si="92"/>
        <v>2604.672</v>
      </c>
      <c r="K162" s="21">
        <f t="shared" si="92"/>
        <v>3472.8959999999997</v>
      </c>
      <c r="L162" s="21">
        <f t="shared" si="92"/>
        <v>4341.12</v>
      </c>
      <c r="M162" s="21">
        <f t="shared" si="92"/>
        <v>5209.3439999999991</v>
      </c>
      <c r="N162" s="21">
        <f t="shared" si="92"/>
        <v>5209.3439999999991</v>
      </c>
    </row>
    <row r="163" spans="1:15" x14ac:dyDescent="0.25">
      <c r="A163" s="3" t="s">
        <v>74</v>
      </c>
      <c r="B163" s="4" t="s">
        <v>19</v>
      </c>
      <c r="C163" s="4" t="s">
        <v>20</v>
      </c>
      <c r="D163" s="4">
        <v>0</v>
      </c>
      <c r="E163" s="21">
        <f t="shared" ref="E163:N163" si="93">E29*$D$46</f>
        <v>0</v>
      </c>
      <c r="F163" s="21">
        <f t="shared" si="93"/>
        <v>0</v>
      </c>
      <c r="G163" s="21">
        <f t="shared" si="93"/>
        <v>0</v>
      </c>
      <c r="H163" s="21">
        <f t="shared" si="93"/>
        <v>167.86000000000004</v>
      </c>
      <c r="I163" s="21">
        <f t="shared" si="93"/>
        <v>335.72000000000008</v>
      </c>
      <c r="J163" s="21">
        <f t="shared" si="93"/>
        <v>503.5800000000001</v>
      </c>
      <c r="K163" s="21">
        <f t="shared" si="93"/>
        <v>671.44000000000017</v>
      </c>
      <c r="L163" s="21">
        <f t="shared" si="93"/>
        <v>839.30000000000018</v>
      </c>
      <c r="M163" s="21">
        <f t="shared" si="93"/>
        <v>1007.1600000000002</v>
      </c>
      <c r="N163" s="21">
        <f t="shared" si="93"/>
        <v>1007.1600000000002</v>
      </c>
    </row>
    <row r="164" spans="1:15" x14ac:dyDescent="0.25">
      <c r="A164" s="3" t="s">
        <v>584</v>
      </c>
      <c r="B164" s="4" t="s">
        <v>19</v>
      </c>
      <c r="C164" s="4" t="s">
        <v>20</v>
      </c>
      <c r="D164" s="4">
        <v>0</v>
      </c>
      <c r="E164" s="21">
        <f t="shared" ref="E164:N164" si="94">(E21+E23)*$D$47</f>
        <v>0</v>
      </c>
      <c r="F164" s="21">
        <f t="shared" si="94"/>
        <v>0</v>
      </c>
      <c r="G164" s="21">
        <f t="shared" si="94"/>
        <v>0</v>
      </c>
      <c r="H164" s="21">
        <f t="shared" si="94"/>
        <v>151.19999999999999</v>
      </c>
      <c r="I164" s="21">
        <f t="shared" si="94"/>
        <v>302.39999999999998</v>
      </c>
      <c r="J164" s="21">
        <f t="shared" si="94"/>
        <v>453.6</v>
      </c>
      <c r="K164" s="21">
        <f t="shared" si="94"/>
        <v>604.79999999999995</v>
      </c>
      <c r="L164" s="21">
        <f t="shared" si="94"/>
        <v>756</v>
      </c>
      <c r="M164" s="21">
        <f t="shared" si="94"/>
        <v>907.2</v>
      </c>
      <c r="N164" s="21">
        <f t="shared" si="94"/>
        <v>1717.1999999999998</v>
      </c>
      <c r="O164" s="36"/>
    </row>
    <row r="165" spans="1:15" x14ac:dyDescent="0.25">
      <c r="A165" s="31" t="s">
        <v>581</v>
      </c>
      <c r="B165" s="39" t="s">
        <v>19</v>
      </c>
      <c r="C165" s="31" t="s">
        <v>20</v>
      </c>
      <c r="D165" s="159">
        <f>SUM(E165:N165)</f>
        <v>7933.7039999999988</v>
      </c>
      <c r="E165" s="159">
        <f t="shared" ref="E165:N165" si="95">(E123+E122+E18*E41)/E33</f>
        <v>0</v>
      </c>
      <c r="F165" s="159">
        <f t="shared" si="95"/>
        <v>0</v>
      </c>
      <c r="G165" s="159">
        <f t="shared" si="95"/>
        <v>0</v>
      </c>
      <c r="H165" s="159">
        <f t="shared" si="95"/>
        <v>1187.2839999999999</v>
      </c>
      <c r="I165" s="159">
        <f t="shared" si="95"/>
        <v>1187.2839999999999</v>
      </c>
      <c r="J165" s="159">
        <f t="shared" si="95"/>
        <v>1187.2839999999999</v>
      </c>
      <c r="K165" s="159">
        <f t="shared" si="95"/>
        <v>1187.2839999999999</v>
      </c>
      <c r="L165" s="159">
        <f t="shared" si="95"/>
        <v>1187.2839999999999</v>
      </c>
      <c r="M165" s="159">
        <f t="shared" si="95"/>
        <v>1187.2839999999997</v>
      </c>
      <c r="N165" s="159">
        <f t="shared" si="95"/>
        <v>810</v>
      </c>
    </row>
    <row r="166" spans="1:15" s="24" customFormat="1" x14ac:dyDescent="0.25">
      <c r="A166" s="158" t="s">
        <v>77</v>
      </c>
      <c r="B166" s="19" t="s">
        <v>19</v>
      </c>
      <c r="C166" s="19" t="s">
        <v>20</v>
      </c>
      <c r="D166" s="30">
        <f>SUM(E166:N166)</f>
        <v>4504.6439999999993</v>
      </c>
      <c r="E166" s="30">
        <f t="shared" ref="E166:N166" si="96">(E109+E110+E111+E112+E113+E114+E115+E118)/E33+(E18+E20)*$D$50</f>
        <v>0</v>
      </c>
      <c r="F166" s="30">
        <f t="shared" si="96"/>
        <v>11.516891881291668</v>
      </c>
      <c r="G166" s="30">
        <f t="shared" si="96"/>
        <v>23.955135113086673</v>
      </c>
      <c r="H166" s="30">
        <f t="shared" si="96"/>
        <v>654.29401077641512</v>
      </c>
      <c r="I166" s="30">
        <f t="shared" si="96"/>
        <v>654.29401077641512</v>
      </c>
      <c r="J166" s="30">
        <f t="shared" si="96"/>
        <v>655.78881120747178</v>
      </c>
      <c r="K166" s="30">
        <f t="shared" si="96"/>
        <v>655.78881120747178</v>
      </c>
      <c r="L166" s="30">
        <f t="shared" si="96"/>
        <v>643.87026910384702</v>
      </c>
      <c r="M166" s="30">
        <f t="shared" si="96"/>
        <v>630.93605993400047</v>
      </c>
      <c r="N166" s="30">
        <f t="shared" si="96"/>
        <v>574.20000000000005</v>
      </c>
    </row>
    <row r="167" spans="1:15" s="24" customFormat="1" x14ac:dyDescent="0.25">
      <c r="A167" s="158" t="s">
        <v>579</v>
      </c>
      <c r="B167" s="19" t="s">
        <v>19</v>
      </c>
      <c r="C167" s="19" t="s">
        <v>20</v>
      </c>
      <c r="D167" s="30">
        <f t="shared" ref="D167:D170" si="97">SUM(E167:N167)</f>
        <v>447.44625468295925</v>
      </c>
      <c r="E167" s="30">
        <f t="shared" ref="E167:N167" si="98">(E91+E92+(E72*E44+E83*E45)+E98)/E33</f>
        <v>416.62461538461537</v>
      </c>
      <c r="F167" s="30">
        <f t="shared" si="98"/>
        <v>0</v>
      </c>
      <c r="G167" s="30">
        <f t="shared" si="98"/>
        <v>0</v>
      </c>
      <c r="H167" s="30">
        <f t="shared" si="98"/>
        <v>30.821639298343889</v>
      </c>
      <c r="I167" s="30">
        <f t="shared" si="98"/>
        <v>0</v>
      </c>
      <c r="J167" s="30">
        <f t="shared" si="98"/>
        <v>0</v>
      </c>
      <c r="K167" s="30">
        <f t="shared" si="98"/>
        <v>0</v>
      </c>
      <c r="L167" s="30">
        <f t="shared" si="98"/>
        <v>0</v>
      </c>
      <c r="M167" s="30">
        <f t="shared" si="98"/>
        <v>0</v>
      </c>
      <c r="N167" s="30">
        <f t="shared" si="98"/>
        <v>0</v>
      </c>
    </row>
    <row r="168" spans="1:15" s="24" customFormat="1" x14ac:dyDescent="0.25">
      <c r="A168" s="158" t="s">
        <v>398</v>
      </c>
      <c r="B168" s="19" t="s">
        <v>19</v>
      </c>
      <c r="C168" s="19" t="s">
        <v>20</v>
      </c>
      <c r="D168" s="30">
        <f>SUM(E168:N168)</f>
        <v>518.01599999999996</v>
      </c>
      <c r="E168" s="30">
        <f t="shared" ref="E168:N168" si="99">(E66+E70+E71+E75+E79+E84+E85+E86)*E41/E33</f>
        <v>321.75359999999995</v>
      </c>
      <c r="F168" s="30">
        <f t="shared" si="99"/>
        <v>0</v>
      </c>
      <c r="G168" s="30">
        <f t="shared" si="99"/>
        <v>0</v>
      </c>
      <c r="H168" s="30">
        <f t="shared" si="99"/>
        <v>196.26239999999999</v>
      </c>
      <c r="I168" s="30">
        <f t="shared" si="99"/>
        <v>0</v>
      </c>
      <c r="J168" s="30">
        <f t="shared" si="99"/>
        <v>0</v>
      </c>
      <c r="K168" s="30">
        <f t="shared" si="99"/>
        <v>0</v>
      </c>
      <c r="L168" s="30">
        <f t="shared" si="99"/>
        <v>0</v>
      </c>
      <c r="M168" s="30">
        <f t="shared" si="99"/>
        <v>0</v>
      </c>
      <c r="N168" s="30">
        <f t="shared" si="99"/>
        <v>0</v>
      </c>
    </row>
    <row r="169" spans="1:15" s="24" customFormat="1" x14ac:dyDescent="0.25">
      <c r="A169" s="158" t="s">
        <v>79</v>
      </c>
      <c r="B169" s="19" t="s">
        <v>19</v>
      </c>
      <c r="C169" s="19" t="s">
        <v>20</v>
      </c>
      <c r="D169" s="30">
        <f t="shared" si="97"/>
        <v>937.94315179415969</v>
      </c>
      <c r="E169" s="30">
        <f>(E147+E142+D119)/E33</f>
        <v>96.153846153846146</v>
      </c>
      <c r="F169" s="30">
        <f t="shared" ref="F169:N169" si="100">(F147+F142+F119)/F33</f>
        <v>0</v>
      </c>
      <c r="G169" s="30">
        <f t="shared" si="100"/>
        <v>0</v>
      </c>
      <c r="H169" s="30">
        <f t="shared" si="100"/>
        <v>0</v>
      </c>
      <c r="I169" s="30">
        <f t="shared" si="100"/>
        <v>0</v>
      </c>
      <c r="J169" s="30">
        <f t="shared" si="100"/>
        <v>45.717999652746684</v>
      </c>
      <c r="K169" s="30">
        <f t="shared" si="100"/>
        <v>164.59240469714888</v>
      </c>
      <c r="L169" s="30">
        <f t="shared" si="100"/>
        <v>316.90148631220268</v>
      </c>
      <c r="M169" s="30">
        <f t="shared" si="100"/>
        <v>220.11941497821536</v>
      </c>
      <c r="N169" s="30">
        <f t="shared" si="100"/>
        <v>94.457999999999984</v>
      </c>
    </row>
    <row r="170" spans="1:15" s="24" customFormat="1" x14ac:dyDescent="0.25">
      <c r="A170" s="158" t="s">
        <v>452</v>
      </c>
      <c r="B170" s="19" t="s">
        <v>19</v>
      </c>
      <c r="C170" s="19" t="s">
        <v>20</v>
      </c>
      <c r="D170" s="30">
        <f t="shared" si="97"/>
        <v>1525.6545935228805</v>
      </c>
      <c r="E170" s="30">
        <f>E165-SUM(E166:E169)</f>
        <v>-834.53206153846145</v>
      </c>
      <c r="F170" s="30">
        <f t="shared" ref="F170:N170" si="101">F165-SUM(F166:F169)</f>
        <v>-11.516891881291668</v>
      </c>
      <c r="G170" s="30">
        <f t="shared" si="101"/>
        <v>-23.955135113086673</v>
      </c>
      <c r="H170" s="30">
        <f>H165-SUM(H166:H169)</f>
        <v>305.90594992524086</v>
      </c>
      <c r="I170" s="30">
        <f t="shared" si="101"/>
        <v>532.98998922358476</v>
      </c>
      <c r="J170" s="30">
        <f t="shared" si="101"/>
        <v>485.7771891397814</v>
      </c>
      <c r="K170" s="30">
        <f t="shared" si="101"/>
        <v>366.90278409537927</v>
      </c>
      <c r="L170" s="30">
        <f t="shared" si="101"/>
        <v>226.51224458395018</v>
      </c>
      <c r="M170" s="30">
        <f t="shared" si="101"/>
        <v>336.22852508778385</v>
      </c>
      <c r="N170" s="30">
        <f t="shared" si="101"/>
        <v>141.34199999999998</v>
      </c>
    </row>
    <row r="171" spans="1:15" x14ac:dyDescent="0.25">
      <c r="A171" s="31" t="s">
        <v>598</v>
      </c>
      <c r="B171" s="39" t="s">
        <v>587</v>
      </c>
      <c r="C171" s="39" t="s">
        <v>24</v>
      </c>
    </row>
    <row r="172" spans="1:15" x14ac:dyDescent="0.25">
      <c r="A172" s="39" t="s">
        <v>588</v>
      </c>
      <c r="B172" s="159">
        <f>D165</f>
        <v>7933.7039999999988</v>
      </c>
      <c r="C172" s="421">
        <v>1</v>
      </c>
    </row>
    <row r="173" spans="1:15" x14ac:dyDescent="0.25">
      <c r="A173" s="40" t="s">
        <v>77</v>
      </c>
      <c r="B173" s="165">
        <f>SUM(E166:N166)</f>
        <v>4504.6439999999993</v>
      </c>
      <c r="C173" s="164">
        <f>B173/$B$172</f>
        <v>0.56778574043095131</v>
      </c>
    </row>
    <row r="174" spans="1:15" ht="36" x14ac:dyDescent="0.25">
      <c r="A174" s="43" t="s">
        <v>400</v>
      </c>
      <c r="B174" s="165">
        <f>SUM(E167:N167)+SUM(E168:N168)</f>
        <v>965.46225468295916</v>
      </c>
      <c r="C174" s="164">
        <f>B174/$B$172</f>
        <v>0.12169123711736149</v>
      </c>
    </row>
    <row r="175" spans="1:15" ht="21.75" customHeight="1" x14ac:dyDescent="0.25">
      <c r="A175" s="40" t="s">
        <v>613</v>
      </c>
      <c r="B175" s="165">
        <f>SUM(E170:N170)</f>
        <v>1525.6545935228805</v>
      </c>
      <c r="C175" s="164">
        <f>B175/$B$172</f>
        <v>0.19230041775227319</v>
      </c>
    </row>
    <row r="176" spans="1:15" ht="24" customHeight="1" x14ac:dyDescent="0.25">
      <c r="A176" s="40" t="s">
        <v>590</v>
      </c>
      <c r="B176" s="165">
        <f>SUM(E169:N169)</f>
        <v>937.94315179415969</v>
      </c>
      <c r="C176" s="164">
        <f>B176/$B$172</f>
        <v>0.11822260469941402</v>
      </c>
    </row>
    <row r="177" spans="1:16" x14ac:dyDescent="0.25">
      <c r="A177" s="39" t="s">
        <v>589</v>
      </c>
      <c r="B177" s="159">
        <f>B172-D161</f>
        <v>7355.3039999999983</v>
      </c>
      <c r="C177" s="421">
        <v>1</v>
      </c>
    </row>
    <row r="178" spans="1:16" s="355" customFormat="1" x14ac:dyDescent="0.25">
      <c r="A178" s="40" t="s">
        <v>77</v>
      </c>
      <c r="B178" s="165">
        <f>B173</f>
        <v>4504.6439999999993</v>
      </c>
      <c r="C178" s="164">
        <f>B178/$B$177</f>
        <v>0.612434781757491</v>
      </c>
      <c r="D178" s="46"/>
      <c r="E178" s="46"/>
      <c r="F178" s="46"/>
      <c r="G178" s="46"/>
      <c r="H178" s="46"/>
      <c r="I178" s="46"/>
      <c r="J178" s="46"/>
      <c r="K178" s="46"/>
      <c r="L178" s="46"/>
      <c r="M178" s="46"/>
      <c r="N178" s="46"/>
    </row>
    <row r="179" spans="1:16" s="24" customFormat="1" ht="36" x14ac:dyDescent="0.25">
      <c r="A179" s="43" t="s">
        <v>400</v>
      </c>
      <c r="B179" s="165">
        <f>B174-D161</f>
        <v>387.06225468295906</v>
      </c>
      <c r="C179" s="164">
        <f>B179/$B$177</f>
        <v>5.2623556372783389E-2</v>
      </c>
      <c r="D179" s="46"/>
      <c r="E179" s="46"/>
      <c r="F179" s="46"/>
      <c r="G179" s="46"/>
      <c r="H179" s="46"/>
      <c r="I179" s="46"/>
      <c r="J179" s="46"/>
      <c r="K179" s="46"/>
      <c r="L179" s="46"/>
      <c r="M179" s="46"/>
      <c r="N179" s="46"/>
    </row>
    <row r="180" spans="1:16" x14ac:dyDescent="0.25">
      <c r="A180" s="40" t="s">
        <v>613</v>
      </c>
      <c r="B180" s="165">
        <f>B175</f>
        <v>1525.6545935228805</v>
      </c>
      <c r="C180" s="164">
        <f>B180/$B$177</f>
        <v>0.20742237078479434</v>
      </c>
    </row>
    <row r="181" spans="1:16" s="355" customFormat="1" x14ac:dyDescent="0.25">
      <c r="A181" s="40" t="s">
        <v>397</v>
      </c>
      <c r="B181" s="165">
        <f>B176</f>
        <v>937.94315179415969</v>
      </c>
      <c r="C181" s="164">
        <f>B181/$B$177</f>
        <v>0.12751929108493135</v>
      </c>
      <c r="D181" s="46"/>
      <c r="E181" s="46"/>
      <c r="F181" s="46"/>
      <c r="G181" s="46"/>
      <c r="H181" s="46"/>
      <c r="I181" s="46"/>
      <c r="J181" s="46"/>
      <c r="K181" s="46"/>
      <c r="L181" s="46"/>
      <c r="M181" s="46"/>
      <c r="N181" s="46"/>
    </row>
    <row r="182" spans="1:16" s="355" customFormat="1" ht="20.25" x14ac:dyDescent="0.25">
      <c r="A182" s="377" t="s">
        <v>591</v>
      </c>
      <c r="B182" s="375"/>
      <c r="C182" s="375"/>
      <c r="D182" s="375"/>
      <c r="E182" s="374"/>
      <c r="F182" s="374"/>
      <c r="G182" s="374"/>
      <c r="H182" s="374"/>
      <c r="I182" s="374"/>
      <c r="J182" s="374"/>
      <c r="K182" s="374"/>
      <c r="L182" s="374"/>
      <c r="M182" s="374"/>
      <c r="N182" s="374"/>
    </row>
    <row r="183" spans="1:16" x14ac:dyDescent="0.25">
      <c r="A183" s="37" t="s">
        <v>595</v>
      </c>
      <c r="B183" s="37"/>
      <c r="C183" s="37"/>
      <c r="D183" s="37"/>
      <c r="E183" s="37"/>
      <c r="F183" s="37"/>
      <c r="G183" s="37"/>
      <c r="H183" s="37"/>
      <c r="I183" s="37"/>
      <c r="J183" s="37"/>
      <c r="K183" s="37"/>
      <c r="L183" s="37"/>
      <c r="M183" s="37"/>
      <c r="N183" s="37"/>
    </row>
    <row r="184" spans="1:16" x14ac:dyDescent="0.25">
      <c r="A184" s="350" t="s">
        <v>583</v>
      </c>
      <c r="B184" s="351" t="s">
        <v>19</v>
      </c>
      <c r="C184" s="351" t="s">
        <v>20</v>
      </c>
      <c r="D184" s="4"/>
      <c r="E184" s="21">
        <f>SUM(E185:E188)</f>
        <v>0</v>
      </c>
      <c r="F184" s="21">
        <f t="shared" ref="F184:N184" si="102">SUM(F185:F188)</f>
        <v>0</v>
      </c>
      <c r="G184" s="21">
        <f t="shared" si="102"/>
        <v>0</v>
      </c>
      <c r="H184" s="21">
        <f t="shared" si="102"/>
        <v>6.6916658341478401</v>
      </c>
      <c r="I184" s="21">
        <f t="shared" si="102"/>
        <v>13.918664935027508</v>
      </c>
      <c r="J184" s="21">
        <f t="shared" si="102"/>
        <v>21.713117298642921</v>
      </c>
      <c r="K184" s="21">
        <f t="shared" si="102"/>
        <v>30.108855987451509</v>
      </c>
      <c r="L184" s="21">
        <f t="shared" si="102"/>
        <v>39.14151278368697</v>
      </c>
      <c r="M184" s="21">
        <f t="shared" si="102"/>
        <v>48.848607954041341</v>
      </c>
      <c r="N184" s="21">
        <f t="shared" si="102"/>
        <v>76.58100649405597</v>
      </c>
    </row>
    <row r="185" spans="1:16" x14ac:dyDescent="0.25">
      <c r="A185" s="7" t="s">
        <v>55</v>
      </c>
      <c r="B185" s="4" t="s">
        <v>19</v>
      </c>
      <c r="C185" s="4" t="s">
        <v>20</v>
      </c>
      <c r="D185" s="38"/>
      <c r="E185" s="21">
        <f>'Исходные данные'!$D$97*(E21+E23)*E47</f>
        <v>0</v>
      </c>
      <c r="F185" s="21">
        <f>'Исходные данные'!$D$97*(F21+F23)*F47</f>
        <v>0</v>
      </c>
      <c r="G185" s="21">
        <f>'Исходные данные'!$D$97*(G21+G23)*G47</f>
        <v>0</v>
      </c>
      <c r="H185" s="21">
        <f>'Исходные данные'!$D$97*(H21+H23)*H47</f>
        <v>3.5376522854400001</v>
      </c>
      <c r="I185" s="21">
        <f>'Исходные данные'!$D$97*(I21+I23)*I47</f>
        <v>7.3583167537152008</v>
      </c>
      <c r="J185" s="21">
        <f>'Исходные данные'!$D$97*(J21+J23)*J47</f>
        <v>11.478974135795715</v>
      </c>
      <c r="K185" s="21">
        <f>'Исходные данные'!$D$97*(K21+K23)*K47</f>
        <v>15.917510801636723</v>
      </c>
      <c r="L185" s="21">
        <f>'Исходные данные'!$D$97*(L21+L23)*L47</f>
        <v>20.692764042127745</v>
      </c>
      <c r="M185" s="21">
        <f>'Исходные данные'!$D$97*(M21+M23)*M47</f>
        <v>25.824569524575427</v>
      </c>
      <c r="N185" s="21">
        <f>'Исходные данные'!$D$97*(N21+N23)*N47</f>
        <v>50.837509721235627</v>
      </c>
    </row>
    <row r="186" spans="1:16" x14ac:dyDescent="0.25">
      <c r="A186" s="57" t="s">
        <v>395</v>
      </c>
      <c r="B186" s="4" t="s">
        <v>19</v>
      </c>
      <c r="C186" s="4" t="s">
        <v>20</v>
      </c>
      <c r="D186" s="20"/>
      <c r="E186" s="21">
        <f>'Исходные данные'!$D$98*E199</f>
        <v>0</v>
      </c>
      <c r="F186" s="21">
        <f>'Исходные данные'!$D$98*F199</f>
        <v>0</v>
      </c>
      <c r="G186" s="21">
        <f>'Исходные данные'!$D$98*G199</f>
        <v>0</v>
      </c>
      <c r="H186" s="21">
        <f>'Исходные данные'!$D$98*H199</f>
        <v>2.1383142703104001</v>
      </c>
      <c r="I186" s="21">
        <f>'Исходные данные'!$D$98*I199</f>
        <v>4.4476936822456326</v>
      </c>
      <c r="J186" s="21">
        <f>'Исходные данные'!$D$98*J199</f>
        <v>6.9384021443031898</v>
      </c>
      <c r="K186" s="21">
        <f>'Исходные данные'!$D$98*K199</f>
        <v>9.6212509734337548</v>
      </c>
      <c r="L186" s="21">
        <f>'Исходные данные'!$D$98*L199</f>
        <v>12.507626265463882</v>
      </c>
      <c r="M186" s="21">
        <f>'Исходные данные'!$D$98*M199</f>
        <v>15.609517579298927</v>
      </c>
      <c r="N186" s="21">
        <f>'Исходные данные'!$D$98*N199</f>
        <v>16.233898282470886</v>
      </c>
    </row>
    <row r="187" spans="1:16" x14ac:dyDescent="0.25">
      <c r="A187" s="57" t="s">
        <v>396</v>
      </c>
      <c r="B187" s="4" t="s">
        <v>19</v>
      </c>
      <c r="C187" s="4" t="s">
        <v>20</v>
      </c>
      <c r="D187" s="89"/>
      <c r="E187" s="21">
        <f>'Исходные данные'!$D$99*E19*'Экономическая модель проекта'!E41</f>
        <v>0</v>
      </c>
      <c r="F187" s="21">
        <f>'Исходные данные'!$D$99*F19*'Экономическая модель проекта'!F41</f>
        <v>0</v>
      </c>
      <c r="G187" s="21">
        <f>'Исходные данные'!$D$99*G19*'Экономическая модель проекта'!G41</f>
        <v>0</v>
      </c>
      <c r="H187" s="21">
        <f>'Исходные данные'!$D$99*H19*'Экономическая модель проекта'!H41</f>
        <v>1.0156992783974401</v>
      </c>
      <c r="I187" s="21">
        <f>'Исходные данные'!$D$99*I19*'Экономическая модель проекта'!I41</f>
        <v>2.1126544990666756</v>
      </c>
      <c r="J187" s="21">
        <f>'Исходные данные'!$D$99*J19*'Экономическая модель проекта'!J41</f>
        <v>3.2957410185440139</v>
      </c>
      <c r="K187" s="21">
        <f>'Исходные данные'!$D$99*K19*'Экономическая модель проекта'!K41</f>
        <v>4.570094212381032</v>
      </c>
      <c r="L187" s="21">
        <f>'Исходные данные'!$D$99*L19*'Экономическая модель проекта'!L41</f>
        <v>5.9411224760953427</v>
      </c>
      <c r="M187" s="21">
        <f>'Исходные данные'!$D$99*M19*'Экономическая модель проекта'!M41</f>
        <v>7.4145208501669861</v>
      </c>
      <c r="N187" s="21">
        <f>'Исходные данные'!$D$99*N19*'Экономическая модель проекта'!N41</f>
        <v>7.7111016841736664</v>
      </c>
    </row>
    <row r="188" spans="1:16" x14ac:dyDescent="0.25">
      <c r="A188" s="3" t="s">
        <v>56</v>
      </c>
      <c r="B188" s="4" t="s">
        <v>19</v>
      </c>
      <c r="C188" s="4" t="s">
        <v>20</v>
      </c>
      <c r="D188" s="38"/>
      <c r="E188" s="21">
        <f>0.1*(E23)*E47*'Исходные данные'!$D$100</f>
        <v>0</v>
      </c>
      <c r="F188" s="21">
        <f>0.1*(F23)*F47*'Исходные данные'!$D$100</f>
        <v>0</v>
      </c>
      <c r="G188" s="21">
        <f>0.1*(G23)*G47*'Исходные данные'!$D$100</f>
        <v>0</v>
      </c>
      <c r="H188" s="21">
        <f>0.1*(H23)*H47*'Исходные данные'!$D$100</f>
        <v>0</v>
      </c>
      <c r="I188" s="21">
        <f>0.1*(I23)*I47*'Исходные данные'!$D$100</f>
        <v>0</v>
      </c>
      <c r="J188" s="21">
        <f>0.1*(J23)*J47*'Исходные данные'!$D$100</f>
        <v>0</v>
      </c>
      <c r="K188" s="21">
        <f>0.1*(K23)*K47*'Исходные данные'!$D$100</f>
        <v>0</v>
      </c>
      <c r="L188" s="21">
        <f>0.1*(L23)*L47*'Исходные данные'!$D$100</f>
        <v>0</v>
      </c>
      <c r="M188" s="21">
        <f>0.1*(M23)*M47*'Исходные данные'!$D$100</f>
        <v>0</v>
      </c>
      <c r="N188" s="21">
        <f>0.1*(N23)*N47*'Исходные данные'!$D$100</f>
        <v>1.7984968061757889</v>
      </c>
      <c r="P188" s="45"/>
    </row>
    <row r="189" spans="1:16" ht="54" x14ac:dyDescent="0.25">
      <c r="A189" s="352" t="s">
        <v>592</v>
      </c>
      <c r="B189" s="347" t="s">
        <v>19</v>
      </c>
      <c r="C189" s="347" t="s">
        <v>20</v>
      </c>
      <c r="D189" s="353">
        <v>0.02</v>
      </c>
      <c r="E189" s="354">
        <f t="shared" ref="E189:N189" si="103">$D$189*SUM(E191:E191)</f>
        <v>0</v>
      </c>
      <c r="F189" s="354">
        <f t="shared" si="103"/>
        <v>0</v>
      </c>
      <c r="G189" s="354">
        <f t="shared" si="103"/>
        <v>0</v>
      </c>
      <c r="H189" s="354">
        <f t="shared" si="103"/>
        <v>2.7731263193088003</v>
      </c>
      <c r="I189" s="354">
        <f t="shared" si="103"/>
        <v>5.6571776913899523</v>
      </c>
      <c r="J189" s="354">
        <f t="shared" si="103"/>
        <v>8.6565911183543509</v>
      </c>
      <c r="K189" s="354">
        <f t="shared" si="103"/>
        <v>11.775981082397324</v>
      </c>
      <c r="L189" s="354">
        <f t="shared" si="103"/>
        <v>15.020146645002018</v>
      </c>
      <c r="M189" s="354">
        <f t="shared" si="103"/>
        <v>18.394078830110903</v>
      </c>
      <c r="N189" s="354">
        <f t="shared" si="103"/>
        <v>18.394078830110903</v>
      </c>
    </row>
    <row r="190" spans="1:16" x14ac:dyDescent="0.25">
      <c r="A190" s="10" t="s">
        <v>54</v>
      </c>
      <c r="B190" s="19" t="s">
        <v>19</v>
      </c>
      <c r="C190" s="19" t="s">
        <v>20</v>
      </c>
      <c r="D190" s="118">
        <f>SUM(E190:N190)</f>
        <v>4033.5590258337124</v>
      </c>
      <c r="E190" s="118">
        <f t="shared" ref="E190:N190" si="104">SUM(E191:E191)</f>
        <v>0</v>
      </c>
      <c r="F190" s="118">
        <f t="shared" si="104"/>
        <v>0</v>
      </c>
      <c r="G190" s="118">
        <f t="shared" si="104"/>
        <v>0</v>
      </c>
      <c r="H190" s="118">
        <f t="shared" si="104"/>
        <v>138.65631596544</v>
      </c>
      <c r="I190" s="118">
        <f t="shared" si="104"/>
        <v>282.8588845694976</v>
      </c>
      <c r="J190" s="118">
        <f t="shared" si="104"/>
        <v>432.82955591771753</v>
      </c>
      <c r="K190" s="118">
        <f t="shared" si="104"/>
        <v>588.79905411986624</v>
      </c>
      <c r="L190" s="118">
        <f t="shared" si="104"/>
        <v>751.00733225010094</v>
      </c>
      <c r="M190" s="118">
        <f t="shared" si="104"/>
        <v>919.70394150554512</v>
      </c>
      <c r="N190" s="118">
        <f t="shared" si="104"/>
        <v>919.70394150554512</v>
      </c>
    </row>
    <row r="191" spans="1:16" x14ac:dyDescent="0.25">
      <c r="A191" s="7" t="s">
        <v>582</v>
      </c>
      <c r="B191" s="4" t="s">
        <v>19</v>
      </c>
      <c r="C191" s="4" t="s">
        <v>20</v>
      </c>
      <c r="D191" s="20"/>
      <c r="E191" s="21">
        <f>SUM(E110:E113)+E118</f>
        <v>0</v>
      </c>
      <c r="F191" s="21">
        <f t="shared" ref="F191:N191" si="105">SUM(F110:F113)+E191+F118</f>
        <v>0</v>
      </c>
      <c r="G191" s="21">
        <f t="shared" si="105"/>
        <v>0</v>
      </c>
      <c r="H191" s="21">
        <f t="shared" si="105"/>
        <v>138.65631596544</v>
      </c>
      <c r="I191" s="21">
        <f t="shared" si="105"/>
        <v>282.8588845694976</v>
      </c>
      <c r="J191" s="21">
        <f t="shared" si="105"/>
        <v>432.82955591771753</v>
      </c>
      <c r="K191" s="21">
        <f t="shared" si="105"/>
        <v>588.79905411986624</v>
      </c>
      <c r="L191" s="21">
        <f t="shared" si="105"/>
        <v>751.00733225010094</v>
      </c>
      <c r="M191" s="21">
        <f t="shared" si="105"/>
        <v>919.70394150554512</v>
      </c>
      <c r="N191" s="21">
        <f t="shared" si="105"/>
        <v>919.70394150554512</v>
      </c>
    </row>
    <row r="192" spans="1:16" x14ac:dyDescent="0.25">
      <c r="A192" s="356" t="s">
        <v>593</v>
      </c>
      <c r="B192" s="347" t="s">
        <v>19</v>
      </c>
      <c r="C192" s="347" t="s">
        <v>20</v>
      </c>
      <c r="D192" s="356"/>
      <c r="E192" s="357">
        <f>E187+E188-E189</f>
        <v>0</v>
      </c>
      <c r="F192" s="357">
        <f t="shared" ref="F192:N192" si="106">F187+F188-F189</f>
        <v>0</v>
      </c>
      <c r="G192" s="357">
        <f t="shared" si="106"/>
        <v>0</v>
      </c>
      <c r="H192" s="357">
        <f t="shared" si="106"/>
        <v>-1.7574270409113601</v>
      </c>
      <c r="I192" s="357">
        <f t="shared" si="106"/>
        <v>-3.5445231923232767</v>
      </c>
      <c r="J192" s="357">
        <f t="shared" si="106"/>
        <v>-5.360850099810337</v>
      </c>
      <c r="K192" s="357">
        <f t="shared" si="106"/>
        <v>-7.2058868700162924</v>
      </c>
      <c r="L192" s="357">
        <f t="shared" si="106"/>
        <v>-9.0790241689066757</v>
      </c>
      <c r="M192" s="357">
        <f t="shared" si="106"/>
        <v>-10.979557979943916</v>
      </c>
      <c r="N192" s="357">
        <f t="shared" si="106"/>
        <v>-8.8844803397614474</v>
      </c>
    </row>
    <row r="193" spans="1:14" x14ac:dyDescent="0.25">
      <c r="A193" s="356" t="s">
        <v>594</v>
      </c>
      <c r="B193" s="347" t="s">
        <v>19</v>
      </c>
      <c r="C193" s="347" t="s">
        <v>20</v>
      </c>
      <c r="D193" s="353"/>
      <c r="E193" s="354">
        <f>E185+E186</f>
        <v>0</v>
      </c>
      <c r="F193" s="354">
        <f t="shared" ref="F193:N193" si="107">F185+F186</f>
        <v>0</v>
      </c>
      <c r="G193" s="354">
        <f t="shared" si="107"/>
        <v>0</v>
      </c>
      <c r="H193" s="354">
        <f t="shared" si="107"/>
        <v>5.6759665557504002</v>
      </c>
      <c r="I193" s="354">
        <f t="shared" si="107"/>
        <v>11.806010435960832</v>
      </c>
      <c r="J193" s="354">
        <f t="shared" si="107"/>
        <v>18.417376280098907</v>
      </c>
      <c r="K193" s="354">
        <f t="shared" si="107"/>
        <v>25.538761775070476</v>
      </c>
      <c r="L193" s="354">
        <f t="shared" si="107"/>
        <v>33.200390307591626</v>
      </c>
      <c r="M193" s="354">
        <f t="shared" si="107"/>
        <v>41.434087103874354</v>
      </c>
      <c r="N193" s="354">
        <f t="shared" si="107"/>
        <v>67.071408003706509</v>
      </c>
    </row>
    <row r="194" spans="1:14" x14ac:dyDescent="0.25">
      <c r="A194" s="160" t="s">
        <v>387</v>
      </c>
      <c r="B194" s="160"/>
      <c r="C194" s="160"/>
      <c r="D194" s="160"/>
      <c r="E194" s="160"/>
      <c r="F194" s="160"/>
      <c r="G194" s="160"/>
      <c r="H194" s="160"/>
      <c r="I194" s="160"/>
      <c r="J194" s="160"/>
      <c r="K194" s="160"/>
      <c r="L194" s="160"/>
      <c r="M194" s="160"/>
      <c r="N194" s="160"/>
    </row>
    <row r="195" spans="1:14" x14ac:dyDescent="0.25">
      <c r="A195" s="40" t="s">
        <v>57</v>
      </c>
      <c r="B195" s="4" t="s">
        <v>19</v>
      </c>
      <c r="C195" s="4" t="s">
        <v>391</v>
      </c>
      <c r="D195" s="4"/>
      <c r="E195" s="44">
        <f>E19*1000/'Градостроительная модель'!$D$73</f>
        <v>0</v>
      </c>
      <c r="F195" s="44">
        <f>F19*1000/'Градостроительная модель'!$D$73</f>
        <v>0</v>
      </c>
      <c r="G195" s="44">
        <f>G19*1000/'Градостроительная модель'!$D$73</f>
        <v>0</v>
      </c>
      <c r="H195" s="44">
        <f>H19*1000/'Градостроительная модель'!$D$73</f>
        <v>317.33333333333331</v>
      </c>
      <c r="I195" s="44">
        <f>I19*1000/'Градостроительная модель'!$D$73</f>
        <v>634.66666666666663</v>
      </c>
      <c r="J195" s="44">
        <f>J19*1000/'Градостроительная модель'!$D$73</f>
        <v>952</v>
      </c>
      <c r="K195" s="44">
        <f>K19*1000/'Градостроительная модель'!$D$73</f>
        <v>1269.3333333333333</v>
      </c>
      <c r="L195" s="44">
        <f>L19*1000/'Градостроительная модель'!$D$73</f>
        <v>1586.6666666666665</v>
      </c>
      <c r="M195" s="44">
        <f>M19*1000/'Градостроительная модель'!$D$73</f>
        <v>1903.9999999999998</v>
      </c>
      <c r="N195" s="44">
        <f>N19*1000/'Градостроительная модель'!$D$73</f>
        <v>1903.9999999999998</v>
      </c>
    </row>
    <row r="196" spans="1:14" x14ac:dyDescent="0.25">
      <c r="A196" s="40" t="s">
        <v>60</v>
      </c>
      <c r="B196" s="4" t="s">
        <v>125</v>
      </c>
      <c r="C196" s="4" t="s">
        <v>58</v>
      </c>
      <c r="D196" s="42">
        <f>'Исходные данные'!D90</f>
        <v>40</v>
      </c>
      <c r="E196" s="42">
        <f>'Исходные данные'!D90*E32</f>
        <v>41.6</v>
      </c>
      <c r="F196" s="42">
        <f t="shared" ref="F196:N196" si="108">E196*F32</f>
        <v>43.264000000000003</v>
      </c>
      <c r="G196" s="42">
        <f t="shared" si="108"/>
        <v>44.994560000000007</v>
      </c>
      <c r="H196" s="42">
        <f t="shared" si="108"/>
        <v>46.794342400000012</v>
      </c>
      <c r="I196" s="42">
        <f t="shared" si="108"/>
        <v>48.666116096000017</v>
      </c>
      <c r="J196" s="42">
        <f t="shared" si="108"/>
        <v>50.61276073984002</v>
      </c>
      <c r="K196" s="42">
        <f t="shared" si="108"/>
        <v>52.637271169433625</v>
      </c>
      <c r="L196" s="42">
        <f t="shared" si="108"/>
        <v>54.742762016210975</v>
      </c>
      <c r="M196" s="42">
        <f t="shared" si="108"/>
        <v>56.932472496859418</v>
      </c>
      <c r="N196" s="42">
        <f t="shared" si="108"/>
        <v>59.2097713967338</v>
      </c>
    </row>
    <row r="197" spans="1:14" x14ac:dyDescent="0.25">
      <c r="A197" s="40" t="s">
        <v>61</v>
      </c>
      <c r="B197" s="4" t="s">
        <v>19</v>
      </c>
      <c r="C197" s="4" t="s">
        <v>585</v>
      </c>
      <c r="D197" s="4"/>
      <c r="E197" s="21">
        <f>E196*12*E195/1000</f>
        <v>0</v>
      </c>
      <c r="F197" s="21">
        <f t="shared" ref="F197:N197" si="109">F196*12*F195/1000</f>
        <v>0</v>
      </c>
      <c r="G197" s="21">
        <f t="shared" si="109"/>
        <v>0</v>
      </c>
      <c r="H197" s="21">
        <f t="shared" si="109"/>
        <v>178.19285585920002</v>
      </c>
      <c r="I197" s="21">
        <f t="shared" si="109"/>
        <v>370.64114018713605</v>
      </c>
      <c r="J197" s="21">
        <f t="shared" si="109"/>
        <v>578.20017869193248</v>
      </c>
      <c r="K197" s="21">
        <f t="shared" si="109"/>
        <v>801.77091445281292</v>
      </c>
      <c r="L197" s="21">
        <f t="shared" si="109"/>
        <v>1042.3021887886568</v>
      </c>
      <c r="M197" s="21">
        <f t="shared" si="109"/>
        <v>1300.7931316082438</v>
      </c>
      <c r="N197" s="21">
        <f t="shared" si="109"/>
        <v>1352.8248568725737</v>
      </c>
    </row>
    <row r="198" spans="1:14" x14ac:dyDescent="0.25">
      <c r="A198" s="40" t="s">
        <v>497</v>
      </c>
      <c r="B198" s="4" t="s">
        <v>19</v>
      </c>
      <c r="C198" s="4" t="s">
        <v>585</v>
      </c>
      <c r="D198" s="20">
        <v>0.7</v>
      </c>
      <c r="E198" s="21">
        <f>E197*$D$198</f>
        <v>0</v>
      </c>
      <c r="F198" s="21">
        <f t="shared" ref="F198:N198" si="110">F197*$D$198</f>
        <v>0</v>
      </c>
      <c r="G198" s="21">
        <f t="shared" si="110"/>
        <v>0</v>
      </c>
      <c r="H198" s="21">
        <f t="shared" si="110"/>
        <v>124.73499910144001</v>
      </c>
      <c r="I198" s="21">
        <f t="shared" si="110"/>
        <v>259.44879813099521</v>
      </c>
      <c r="J198" s="21">
        <f t="shared" si="110"/>
        <v>404.74012508435271</v>
      </c>
      <c r="K198" s="21">
        <f t="shared" si="110"/>
        <v>561.23964011696899</v>
      </c>
      <c r="L198" s="21">
        <f t="shared" si="110"/>
        <v>729.61153215205979</v>
      </c>
      <c r="M198" s="21">
        <f t="shared" si="110"/>
        <v>910.55519212577065</v>
      </c>
      <c r="N198" s="21">
        <f t="shared" si="110"/>
        <v>946.97739981080156</v>
      </c>
    </row>
    <row r="199" spans="1:14" x14ac:dyDescent="0.25">
      <c r="A199" s="43" t="s">
        <v>59</v>
      </c>
      <c r="B199" s="4" t="s">
        <v>19</v>
      </c>
      <c r="C199" s="4" t="s">
        <v>585</v>
      </c>
      <c r="D199" s="20">
        <v>0.2</v>
      </c>
      <c r="E199" s="18">
        <f>$D$199*E197</f>
        <v>0</v>
      </c>
      <c r="F199" s="18">
        <f t="shared" ref="F199:N199" si="111">$D$199*F197</f>
        <v>0</v>
      </c>
      <c r="G199" s="18">
        <f t="shared" si="111"/>
        <v>0</v>
      </c>
      <c r="H199" s="18">
        <f t="shared" si="111"/>
        <v>35.638571171840006</v>
      </c>
      <c r="I199" s="18">
        <f t="shared" si="111"/>
        <v>74.128228037427206</v>
      </c>
      <c r="J199" s="18">
        <f t="shared" si="111"/>
        <v>115.6400357383865</v>
      </c>
      <c r="K199" s="18">
        <f t="shared" si="111"/>
        <v>160.35418289056258</v>
      </c>
      <c r="L199" s="18">
        <f t="shared" si="111"/>
        <v>208.46043775773137</v>
      </c>
      <c r="M199" s="18">
        <f t="shared" si="111"/>
        <v>260.1586263216488</v>
      </c>
      <c r="N199" s="18">
        <f t="shared" si="111"/>
        <v>270.56497137451476</v>
      </c>
    </row>
    <row r="200" spans="1:14" ht="40.5" x14ac:dyDescent="0.3">
      <c r="A200" s="422" t="s">
        <v>471</v>
      </c>
      <c r="B200" s="423"/>
      <c r="C200" s="400"/>
      <c r="D200" s="400"/>
      <c r="E200" s="424"/>
      <c r="F200" s="424"/>
      <c r="G200" s="424"/>
      <c r="H200" s="424"/>
      <c r="I200" s="424"/>
      <c r="J200" s="424"/>
      <c r="K200" s="424"/>
      <c r="L200" s="424"/>
      <c r="M200" s="424"/>
      <c r="N200" s="424"/>
    </row>
    <row r="201" spans="1:14" x14ac:dyDescent="0.25">
      <c r="A201" s="7" t="s">
        <v>477</v>
      </c>
      <c r="B201" s="4" t="s">
        <v>19</v>
      </c>
      <c r="C201" s="4" t="s">
        <v>393</v>
      </c>
      <c r="D201" s="18">
        <f>D97+D98+D99+D118</f>
        <v>920.83210979225328</v>
      </c>
      <c r="E201" s="163"/>
      <c r="F201" s="163"/>
      <c r="G201" s="163"/>
      <c r="H201" s="163"/>
      <c r="I201" s="163"/>
      <c r="J201" s="163"/>
      <c r="K201" s="163"/>
      <c r="L201" s="163"/>
      <c r="M201" s="163"/>
      <c r="N201" s="163"/>
    </row>
    <row r="202" spans="1:14" ht="36" x14ac:dyDescent="0.25">
      <c r="A202" s="7" t="s">
        <v>478</v>
      </c>
      <c r="B202" s="4" t="s">
        <v>19</v>
      </c>
      <c r="C202" s="4" t="s">
        <v>394</v>
      </c>
      <c r="D202" s="18">
        <f>D201/D65</f>
        <v>426.31116194085797</v>
      </c>
      <c r="E202" s="163"/>
      <c r="F202" s="163"/>
      <c r="G202" s="163"/>
      <c r="H202" s="163"/>
      <c r="I202" s="163"/>
      <c r="J202" s="163"/>
      <c r="K202" s="163"/>
      <c r="L202" s="163"/>
      <c r="M202" s="163"/>
      <c r="N202" s="163"/>
    </row>
    <row r="203" spans="1:14" ht="36" x14ac:dyDescent="0.25">
      <c r="A203" s="7" t="s">
        <v>479</v>
      </c>
      <c r="B203" s="4" t="s">
        <v>19</v>
      </c>
      <c r="C203" s="4" t="s">
        <v>24</v>
      </c>
      <c r="D203" s="164">
        <f>D202/D95</f>
        <v>6.1516762184827991</v>
      </c>
      <c r="E203" s="163"/>
      <c r="F203" s="163"/>
      <c r="G203" s="163"/>
      <c r="H203" s="163"/>
      <c r="I203" s="163"/>
      <c r="J203" s="163"/>
      <c r="K203" s="163"/>
      <c r="L203" s="163"/>
      <c r="M203" s="163"/>
      <c r="N203" s="163"/>
    </row>
    <row r="204" spans="1:14" x14ac:dyDescent="0.25">
      <c r="A204" s="7" t="s">
        <v>392</v>
      </c>
      <c r="B204" s="4" t="s">
        <v>19</v>
      </c>
      <c r="C204" s="4" t="s">
        <v>393</v>
      </c>
      <c r="D204" s="18">
        <f>D97+D98</f>
        <v>148.87177334784002</v>
      </c>
      <c r="E204" s="163"/>
      <c r="F204" s="163"/>
      <c r="G204" s="163"/>
      <c r="H204" s="163"/>
      <c r="I204" s="163"/>
      <c r="J204" s="163"/>
      <c r="K204" s="163"/>
      <c r="L204" s="163"/>
      <c r="M204" s="163"/>
      <c r="N204" s="163"/>
    </row>
    <row r="205" spans="1:14" x14ac:dyDescent="0.25">
      <c r="A205" s="7" t="s">
        <v>389</v>
      </c>
      <c r="B205" s="4" t="s">
        <v>19</v>
      </c>
      <c r="C205" s="4" t="s">
        <v>394</v>
      </c>
      <c r="D205" s="18">
        <f>D204/D65</f>
        <v>68.922117290666677</v>
      </c>
      <c r="E205" s="163"/>
      <c r="F205" s="163"/>
      <c r="G205" s="163"/>
      <c r="H205" s="163"/>
      <c r="I205" s="163"/>
      <c r="J205" s="163"/>
      <c r="K205" s="163"/>
      <c r="L205" s="163"/>
      <c r="M205" s="163"/>
      <c r="N205" s="163"/>
    </row>
    <row r="206" spans="1:14" ht="36" x14ac:dyDescent="0.25">
      <c r="A206" s="7" t="s">
        <v>390</v>
      </c>
      <c r="B206" s="4" t="s">
        <v>19</v>
      </c>
      <c r="C206" s="4" t="s">
        <v>24</v>
      </c>
      <c r="D206" s="164">
        <f>D205/D95</f>
        <v>0.99454714705146718</v>
      </c>
      <c r="E206" s="163"/>
      <c r="F206" s="163"/>
      <c r="G206" s="163"/>
      <c r="H206" s="163"/>
      <c r="I206" s="163"/>
      <c r="J206" s="163"/>
      <c r="K206" s="163"/>
      <c r="L206" s="163"/>
      <c r="M206" s="163"/>
      <c r="N206" s="163"/>
    </row>
    <row r="207" spans="1:14" x14ac:dyDescent="0.25">
      <c r="A207" s="161"/>
      <c r="B207" s="162"/>
      <c r="C207" s="162"/>
      <c r="D207" s="156"/>
      <c r="E207" s="163"/>
      <c r="F207" s="163"/>
      <c r="G207" s="163"/>
      <c r="H207" s="163"/>
      <c r="I207" s="163"/>
      <c r="J207" s="163"/>
      <c r="K207" s="163"/>
      <c r="L207" s="163"/>
      <c r="M207" s="163"/>
      <c r="N207" s="163"/>
    </row>
    <row r="208" spans="1:14" x14ac:dyDescent="0.25">
      <c r="A208" s="161"/>
      <c r="B208" s="162"/>
      <c r="C208" s="162"/>
      <c r="D208" s="156"/>
      <c r="E208" s="163"/>
      <c r="F208" s="163"/>
      <c r="G208" s="163"/>
      <c r="H208" s="163"/>
      <c r="I208" s="163"/>
      <c r="J208" s="163"/>
      <c r="K208" s="163"/>
      <c r="L208" s="163"/>
      <c r="M208" s="163"/>
      <c r="N208" s="163"/>
    </row>
    <row r="216" spans="1:1" x14ac:dyDescent="0.25">
      <c r="A216"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topLeftCell="A26" zoomScale="60" zoomScaleNormal="60" workbookViewId="0">
      <selection activeCell="E48" sqref="E48"/>
    </sheetView>
  </sheetViews>
  <sheetFormatPr defaultColWidth="18.25" defaultRowHeight="12.75" x14ac:dyDescent="0.2"/>
  <cols>
    <col min="1" max="1" width="7.75" style="71" customWidth="1"/>
    <col min="2" max="2" width="46.75" style="141" customWidth="1"/>
    <col min="3" max="3" width="25.75" style="139" customWidth="1"/>
    <col min="4" max="4" width="35.5" style="84" customWidth="1"/>
    <col min="5" max="5" width="44.25" style="84" customWidth="1"/>
    <col min="6" max="6" width="39.25" style="84" customWidth="1"/>
    <col min="7" max="7" width="46.75" style="175" customWidth="1"/>
    <col min="8" max="8" width="44" style="174" customWidth="1"/>
    <col min="9" max="16384" width="18.25" style="72"/>
  </cols>
  <sheetData>
    <row r="1" spans="1:8" ht="16.149999999999999" customHeight="1" x14ac:dyDescent="0.2">
      <c r="A1" s="432" t="s">
        <v>361</v>
      </c>
      <c r="B1" s="432"/>
      <c r="C1" s="432"/>
      <c r="D1" s="432"/>
      <c r="E1" s="432"/>
      <c r="F1" s="432"/>
      <c r="G1" s="432"/>
    </row>
    <row r="2" spans="1:8" ht="18" customHeight="1" x14ac:dyDescent="0.2">
      <c r="A2" s="148" t="s">
        <v>289</v>
      </c>
      <c r="B2" s="148" t="s">
        <v>293</v>
      </c>
      <c r="C2" s="172" t="s">
        <v>181</v>
      </c>
      <c r="D2" s="172" t="s">
        <v>290</v>
      </c>
      <c r="E2" s="172" t="s">
        <v>291</v>
      </c>
      <c r="F2" s="172" t="s">
        <v>292</v>
      </c>
      <c r="G2" s="149" t="s">
        <v>83</v>
      </c>
      <c r="H2" s="142"/>
    </row>
    <row r="3" spans="1:8" ht="33" customHeight="1" x14ac:dyDescent="0.2">
      <c r="A3" s="151" t="s">
        <v>134</v>
      </c>
      <c r="B3" s="152" t="s">
        <v>294</v>
      </c>
      <c r="C3" s="139" t="s">
        <v>24</v>
      </c>
      <c r="D3" s="74">
        <v>1</v>
      </c>
      <c r="E3" s="74">
        <v>1</v>
      </c>
      <c r="F3" s="74">
        <v>1</v>
      </c>
      <c r="G3" s="142"/>
      <c r="H3" s="142"/>
    </row>
    <row r="4" spans="1:8" ht="22.9" customHeight="1" x14ac:dyDescent="0.2">
      <c r="A4" s="71" t="s">
        <v>135</v>
      </c>
      <c r="B4" s="75" t="s">
        <v>136</v>
      </c>
      <c r="C4" s="139" t="s">
        <v>24</v>
      </c>
      <c r="D4" s="78">
        <v>0.4</v>
      </c>
      <c r="E4" s="78">
        <v>0.4</v>
      </c>
      <c r="F4" s="78">
        <v>0.35</v>
      </c>
      <c r="G4" s="144" t="s">
        <v>302</v>
      </c>
      <c r="H4" s="142"/>
    </row>
    <row r="5" spans="1:8" ht="27" customHeight="1" x14ac:dyDescent="0.2">
      <c r="A5" s="90" t="s">
        <v>137</v>
      </c>
      <c r="B5" s="75" t="s">
        <v>300</v>
      </c>
      <c r="C5" s="139" t="s">
        <v>24</v>
      </c>
      <c r="D5" s="78">
        <v>0.3</v>
      </c>
      <c r="E5" s="78">
        <v>0.3</v>
      </c>
      <c r="F5" s="79">
        <v>0.3</v>
      </c>
      <c r="G5" s="144" t="s">
        <v>302</v>
      </c>
      <c r="H5" s="142"/>
    </row>
    <row r="6" spans="1:8" ht="18" customHeight="1" x14ac:dyDescent="0.2">
      <c r="A6" s="71" t="s">
        <v>138</v>
      </c>
      <c r="B6" s="75" t="s">
        <v>139</v>
      </c>
      <c r="C6" s="139" t="s">
        <v>24</v>
      </c>
      <c r="D6" s="78">
        <f>D17/D14</f>
        <v>0.20735999999999999</v>
      </c>
      <c r="E6" s="78">
        <f>E17/E14</f>
        <v>0.13328000000000001</v>
      </c>
      <c r="F6" s="78">
        <f>F17/F14</f>
        <v>0.14279999999999998</v>
      </c>
      <c r="G6" s="144" t="s">
        <v>302</v>
      </c>
      <c r="H6" s="142"/>
    </row>
    <row r="7" spans="1:8" ht="18" customHeight="1" x14ac:dyDescent="0.2">
      <c r="A7" s="71" t="s">
        <v>140</v>
      </c>
      <c r="B7" s="75" t="s">
        <v>17</v>
      </c>
      <c r="C7" s="139" t="s">
        <v>24</v>
      </c>
      <c r="D7" s="78">
        <v>0.01</v>
      </c>
      <c r="E7" s="78">
        <v>0.01</v>
      </c>
      <c r="F7" s="78">
        <f>F18/F14</f>
        <v>0.01</v>
      </c>
      <c r="G7" s="144" t="s">
        <v>302</v>
      </c>
      <c r="H7" s="142"/>
    </row>
    <row r="8" spans="1:8" ht="18" customHeight="1" x14ac:dyDescent="0.2">
      <c r="A8" s="71" t="s">
        <v>142</v>
      </c>
      <c r="B8" s="75" t="s">
        <v>141</v>
      </c>
      <c r="C8" s="139" t="s">
        <v>24</v>
      </c>
      <c r="D8" s="78">
        <f>D19/$D$14</f>
        <v>0</v>
      </c>
      <c r="E8" s="78">
        <v>0.06</v>
      </c>
      <c r="F8" s="79">
        <v>0.04</v>
      </c>
      <c r="G8" s="144" t="s">
        <v>302</v>
      </c>
      <c r="H8" s="142"/>
    </row>
    <row r="9" spans="1:8" ht="18" customHeight="1" x14ac:dyDescent="0.2">
      <c r="A9" s="71" t="s">
        <v>186</v>
      </c>
      <c r="B9" s="75" t="s">
        <v>143</v>
      </c>
      <c r="C9" s="139" t="s">
        <v>24</v>
      </c>
      <c r="D9" s="82">
        <f>SUM(D10:D12)</f>
        <v>7.5479040000000011E-2</v>
      </c>
      <c r="E9" s="82">
        <f>SUM(E10:E12)</f>
        <v>4.8513919999999995E-2</v>
      </c>
      <c r="F9" s="82">
        <f>SUM(F10:F12)</f>
        <v>0.15727039999999998</v>
      </c>
      <c r="G9" s="144" t="s">
        <v>302</v>
      </c>
      <c r="H9" s="142"/>
    </row>
    <row r="10" spans="1:8" ht="18" customHeight="1" x14ac:dyDescent="0.2">
      <c r="A10" s="71" t="s">
        <v>187</v>
      </c>
      <c r="B10" s="75" t="s">
        <v>299</v>
      </c>
      <c r="C10" s="139" t="s">
        <v>24</v>
      </c>
      <c r="D10" s="78">
        <v>0</v>
      </c>
      <c r="E10" s="78">
        <v>0</v>
      </c>
      <c r="F10" s="78">
        <f>F21/$F$14</f>
        <v>5.9975999999999995E-2</v>
      </c>
      <c r="G10" s="144" t="s">
        <v>301</v>
      </c>
      <c r="H10" s="142"/>
    </row>
    <row r="11" spans="1:8" ht="18" customHeight="1" x14ac:dyDescent="0.2">
      <c r="A11" s="71" t="s">
        <v>188</v>
      </c>
      <c r="B11" s="75" t="s">
        <v>200</v>
      </c>
      <c r="C11" s="139" t="s">
        <v>24</v>
      </c>
      <c r="D11" s="78">
        <f>D22/$D$14</f>
        <v>7.5479040000000011E-2</v>
      </c>
      <c r="E11" s="78">
        <f>E22/$E$14</f>
        <v>4.8513919999999995E-2</v>
      </c>
      <c r="F11" s="78">
        <f>F22/$F$14</f>
        <v>8.9964000000000002E-2</v>
      </c>
      <c r="G11" s="144" t="s">
        <v>303</v>
      </c>
      <c r="H11" s="142"/>
    </row>
    <row r="12" spans="1:8" ht="18" customHeight="1" x14ac:dyDescent="0.2">
      <c r="A12" s="71" t="s">
        <v>189</v>
      </c>
      <c r="B12" s="75" t="s">
        <v>144</v>
      </c>
      <c r="C12" s="139" t="s">
        <v>24</v>
      </c>
      <c r="D12" s="78">
        <v>0</v>
      </c>
      <c r="E12" s="78">
        <v>0</v>
      </c>
      <c r="F12" s="78">
        <f>F23/$F$14</f>
        <v>7.3304000000000008E-3</v>
      </c>
      <c r="G12" s="144" t="s">
        <v>302</v>
      </c>
      <c r="H12" s="142"/>
    </row>
    <row r="13" spans="1:8" ht="18" customHeight="1" x14ac:dyDescent="0.2">
      <c r="A13" s="71" t="s">
        <v>219</v>
      </c>
      <c r="B13" s="141" t="s">
        <v>146</v>
      </c>
      <c r="C13" s="139" t="s">
        <v>24</v>
      </c>
      <c r="D13" s="83">
        <f>SUM(D4:D9)</f>
        <v>0.99283904000000001</v>
      </c>
      <c r="E13" s="83">
        <f>SUM(E4:E9)</f>
        <v>0.95179392000000007</v>
      </c>
      <c r="F13" s="83">
        <f>SUM(F4:F9)</f>
        <v>1.0000704</v>
      </c>
      <c r="G13" s="144" t="s">
        <v>68</v>
      </c>
      <c r="H13" s="142"/>
    </row>
    <row r="14" spans="1:8" ht="30" customHeight="1" x14ac:dyDescent="0.2">
      <c r="A14" s="151" t="s">
        <v>145</v>
      </c>
      <c r="B14" s="152" t="s">
        <v>294</v>
      </c>
      <c r="C14" s="77" t="s">
        <v>3</v>
      </c>
      <c r="D14" s="73">
        <v>2.5</v>
      </c>
      <c r="E14" s="73">
        <v>5</v>
      </c>
      <c r="F14" s="73">
        <v>10</v>
      </c>
      <c r="G14" s="145" t="s">
        <v>19</v>
      </c>
    </row>
    <row r="15" spans="1:8" x14ac:dyDescent="0.2">
      <c r="A15" s="71" t="s">
        <v>164</v>
      </c>
      <c r="B15" s="75" t="s">
        <v>136</v>
      </c>
      <c r="C15" s="77" t="s">
        <v>3</v>
      </c>
      <c r="D15" s="76">
        <f>$D$14*D4</f>
        <v>1</v>
      </c>
      <c r="E15" s="77">
        <f>$E$14*E4</f>
        <v>2</v>
      </c>
      <c r="F15" s="77">
        <f>$F$14*F4</f>
        <v>3.5</v>
      </c>
      <c r="G15" s="145" t="s">
        <v>19</v>
      </c>
    </row>
    <row r="16" spans="1:8" s="80" customFormat="1" ht="31.15" customHeight="1" x14ac:dyDescent="0.2">
      <c r="A16" s="90" t="s">
        <v>166</v>
      </c>
      <c r="B16" s="75" t="s">
        <v>295</v>
      </c>
      <c r="C16" s="77" t="s">
        <v>3</v>
      </c>
      <c r="D16" s="76">
        <f>$D$14*D5</f>
        <v>0.75</v>
      </c>
      <c r="E16" s="77">
        <f>$E$14*E5</f>
        <v>1.5</v>
      </c>
      <c r="F16" s="77">
        <f>$F$14*F5</f>
        <v>3</v>
      </c>
      <c r="G16" s="145" t="s">
        <v>19</v>
      </c>
      <c r="H16" s="430"/>
    </row>
    <row r="17" spans="1:8" ht="46.15" customHeight="1" x14ac:dyDescent="0.2">
      <c r="A17" s="71" t="s">
        <v>167</v>
      </c>
      <c r="B17" s="75" t="s">
        <v>139</v>
      </c>
      <c r="C17" s="77" t="s">
        <v>3</v>
      </c>
      <c r="D17" s="76">
        <f>D74*D39</f>
        <v>0.51839999999999997</v>
      </c>
      <c r="E17" s="76">
        <f>E74*E39</f>
        <v>0.66639999999999999</v>
      </c>
      <c r="F17" s="76">
        <f>F74*F39</f>
        <v>1.4279999999999999</v>
      </c>
      <c r="G17" s="145" t="s">
        <v>19</v>
      </c>
      <c r="H17" s="430"/>
    </row>
    <row r="18" spans="1:8" ht="28.9" customHeight="1" x14ac:dyDescent="0.2">
      <c r="A18" s="71" t="s">
        <v>168</v>
      </c>
      <c r="B18" s="75" t="s">
        <v>17</v>
      </c>
      <c r="C18" s="77" t="s">
        <v>3</v>
      </c>
      <c r="D18" s="77">
        <f>D14*D7</f>
        <v>2.5000000000000001E-2</v>
      </c>
      <c r="E18" s="77">
        <f>E14*E7</f>
        <v>0.05</v>
      </c>
      <c r="F18" s="77">
        <f>0.1</f>
        <v>0.1</v>
      </c>
      <c r="G18" s="145" t="s">
        <v>19</v>
      </c>
    </row>
    <row r="19" spans="1:8" ht="31.15" customHeight="1" x14ac:dyDescent="0.2">
      <c r="A19" s="71" t="s">
        <v>169</v>
      </c>
      <c r="B19" s="75" t="s">
        <v>141</v>
      </c>
      <c r="C19" s="77" t="s">
        <v>3</v>
      </c>
      <c r="D19" s="77">
        <v>0</v>
      </c>
      <c r="E19" s="77">
        <f>$E$14*E8</f>
        <v>0.3</v>
      </c>
      <c r="F19" s="77">
        <f>$F$14*F8</f>
        <v>0.4</v>
      </c>
      <c r="G19" s="145" t="s">
        <v>19</v>
      </c>
    </row>
    <row r="20" spans="1:8" x14ac:dyDescent="0.2">
      <c r="A20" s="71" t="s">
        <v>170</v>
      </c>
      <c r="B20" s="75" t="s">
        <v>143</v>
      </c>
      <c r="C20" s="77" t="s">
        <v>3</v>
      </c>
      <c r="D20" s="81">
        <f>SUM(D21:D23)</f>
        <v>0.18869760000000002</v>
      </c>
      <c r="E20" s="81">
        <f>SUM(E21:E23)</f>
        <v>0.24256959999999997</v>
      </c>
      <c r="F20" s="81">
        <f t="shared" ref="F20" si="0">SUM(F21:F23)</f>
        <v>1.5727040000000001</v>
      </c>
      <c r="G20" s="145" t="s">
        <v>19</v>
      </c>
    </row>
    <row r="21" spans="1:8" ht="29.25" customHeight="1" x14ac:dyDescent="0.2">
      <c r="A21" s="71" t="s">
        <v>296</v>
      </c>
      <c r="B21" s="75" t="s">
        <v>299</v>
      </c>
      <c r="C21" s="77" t="s">
        <v>3</v>
      </c>
      <c r="D21" s="77">
        <v>0</v>
      </c>
      <c r="E21" s="77">
        <v>0</v>
      </c>
      <c r="F21" s="81">
        <f>(F45/2)*F77</f>
        <v>0.59975999999999996</v>
      </c>
      <c r="G21" s="145" t="s">
        <v>19</v>
      </c>
      <c r="H21" s="431"/>
    </row>
    <row r="22" spans="1:8" ht="19.149999999999999" customHeight="1" x14ac:dyDescent="0.2">
      <c r="A22" s="71" t="s">
        <v>297</v>
      </c>
      <c r="B22" s="75" t="s">
        <v>200</v>
      </c>
      <c r="C22" s="77" t="s">
        <v>3</v>
      </c>
      <c r="D22" s="81">
        <f>(D40*D41)*D75</f>
        <v>0.18869760000000002</v>
      </c>
      <c r="E22" s="81">
        <f>(E40*E41)*E75</f>
        <v>0.24256959999999997</v>
      </c>
      <c r="F22" s="81">
        <f>(F40*F41)*F76</f>
        <v>0.89964</v>
      </c>
      <c r="G22" s="145" t="s">
        <v>19</v>
      </c>
      <c r="H22" s="431"/>
    </row>
    <row r="23" spans="1:8" ht="16.149999999999999" customHeight="1" x14ac:dyDescent="0.2">
      <c r="A23" s="71" t="s">
        <v>298</v>
      </c>
      <c r="B23" s="75" t="s">
        <v>144</v>
      </c>
      <c r="C23" s="77" t="s">
        <v>3</v>
      </c>
      <c r="D23" s="76">
        <f>D51*D78/100</f>
        <v>0</v>
      </c>
      <c r="E23" s="76">
        <f>E51*E78/100</f>
        <v>0</v>
      </c>
      <c r="F23" s="76">
        <f>F51*F78/100</f>
        <v>7.3304000000000008E-2</v>
      </c>
      <c r="G23" s="145" t="s">
        <v>19</v>
      </c>
      <c r="H23" s="176"/>
    </row>
    <row r="24" spans="1:8" x14ac:dyDescent="0.2">
      <c r="A24" s="71" t="s">
        <v>171</v>
      </c>
      <c r="B24" s="141" t="s">
        <v>146</v>
      </c>
      <c r="C24" s="77" t="s">
        <v>3</v>
      </c>
      <c r="D24" s="91">
        <f>SUM(D15:D20)</f>
        <v>2.4820975999999995</v>
      </c>
      <c r="E24" s="91">
        <f t="shared" ref="E24:F24" si="1">SUM(E15:E20)</f>
        <v>4.7589696000000004</v>
      </c>
      <c r="F24" s="91">
        <f t="shared" si="1"/>
        <v>10.000704000000001</v>
      </c>
      <c r="G24" s="145" t="s">
        <v>19</v>
      </c>
    </row>
    <row r="25" spans="1:8" s="84" customFormat="1" ht="25.5" x14ac:dyDescent="0.2">
      <c r="A25" s="151" t="s">
        <v>220</v>
      </c>
      <c r="B25" s="152" t="s">
        <v>314</v>
      </c>
      <c r="C25" s="143"/>
      <c r="D25" s="140"/>
      <c r="E25" s="140"/>
      <c r="F25" s="140"/>
      <c r="G25" s="88"/>
      <c r="H25" s="175"/>
    </row>
    <row r="26" spans="1:8" s="84" customFormat="1" ht="76.5" x14ac:dyDescent="0.2">
      <c r="A26" s="71" t="s">
        <v>223</v>
      </c>
      <c r="B26" s="141" t="s">
        <v>218</v>
      </c>
      <c r="C26" s="139" t="s">
        <v>316</v>
      </c>
      <c r="D26" s="139">
        <f>D15*D71*10000*D69</f>
        <v>54000</v>
      </c>
      <c r="E26" s="139">
        <f>E15*E71*10000*E69</f>
        <v>84000</v>
      </c>
      <c r="F26" s="139">
        <f>F15*F71*10000*F69</f>
        <v>210000</v>
      </c>
      <c r="G26" s="146" t="s">
        <v>362</v>
      </c>
      <c r="H26" s="175"/>
    </row>
    <row r="27" spans="1:8" s="84" customFormat="1" ht="51" x14ac:dyDescent="0.2">
      <c r="A27" s="71" t="s">
        <v>224</v>
      </c>
      <c r="B27" s="141" t="s">
        <v>315</v>
      </c>
      <c r="C27" s="139" t="s">
        <v>317</v>
      </c>
      <c r="D27" s="139">
        <f>D26*D89</f>
        <v>43200</v>
      </c>
      <c r="E27" s="139">
        <f>E26*E89</f>
        <v>67200</v>
      </c>
      <c r="F27" s="139">
        <f>F26*F89</f>
        <v>168000</v>
      </c>
      <c r="G27" s="175" t="s">
        <v>363</v>
      </c>
      <c r="H27" s="175"/>
    </row>
    <row r="28" spans="1:8" x14ac:dyDescent="0.2">
      <c r="A28" s="71" t="s">
        <v>318</v>
      </c>
      <c r="B28" s="141" t="s">
        <v>165</v>
      </c>
      <c r="C28" s="139" t="s">
        <v>205</v>
      </c>
      <c r="D28" s="139">
        <f>D27-D29</f>
        <v>38880</v>
      </c>
      <c r="E28" s="139">
        <f t="shared" ref="E28:F28" si="2">E27-E29</f>
        <v>57120</v>
      </c>
      <c r="F28" s="139">
        <f t="shared" si="2"/>
        <v>142800</v>
      </c>
      <c r="G28" s="72"/>
    </row>
    <row r="29" spans="1:8" ht="25.5" x14ac:dyDescent="0.2">
      <c r="A29" s="71" t="s">
        <v>319</v>
      </c>
      <c r="B29" s="141" t="s">
        <v>206</v>
      </c>
      <c r="C29" s="139" t="s">
        <v>205</v>
      </c>
      <c r="D29" s="139">
        <f>D27*D90</f>
        <v>4320</v>
      </c>
      <c r="E29" s="139">
        <f>E27*E90</f>
        <v>10080</v>
      </c>
      <c r="F29" s="139">
        <f>F27*F90</f>
        <v>25200</v>
      </c>
      <c r="G29" s="175" t="s">
        <v>359</v>
      </c>
    </row>
    <row r="30" spans="1:8" ht="38.25" x14ac:dyDescent="0.2">
      <c r="A30" s="71" t="s">
        <v>320</v>
      </c>
      <c r="B30" s="141" t="s">
        <v>212</v>
      </c>
      <c r="C30" s="139" t="s">
        <v>205</v>
      </c>
      <c r="D30" s="139">
        <f>D48*D88</f>
        <v>17172</v>
      </c>
      <c r="E30" s="139">
        <f>E48*E88</f>
        <v>27468</v>
      </c>
      <c r="F30" s="139">
        <f>F48*F88</f>
        <v>68670</v>
      </c>
      <c r="G30" s="175" t="s">
        <v>364</v>
      </c>
      <c r="H30" s="433"/>
    </row>
    <row r="31" spans="1:8" ht="38.25" x14ac:dyDescent="0.2">
      <c r="A31" s="71" t="s">
        <v>321</v>
      </c>
      <c r="B31" s="141" t="s">
        <v>322</v>
      </c>
      <c r="C31" s="139" t="s">
        <v>205</v>
      </c>
      <c r="D31" s="139">
        <v>0</v>
      </c>
      <c r="E31" s="139">
        <v>0</v>
      </c>
      <c r="F31" s="139">
        <v>0</v>
      </c>
      <c r="G31" s="175" t="s">
        <v>365</v>
      </c>
      <c r="H31" s="433"/>
    </row>
    <row r="32" spans="1:8" ht="51" x14ac:dyDescent="0.2">
      <c r="A32" s="71" t="s">
        <v>323</v>
      </c>
      <c r="B32" s="141" t="s">
        <v>207</v>
      </c>
      <c r="C32" s="139" t="s">
        <v>205</v>
      </c>
      <c r="D32" s="139">
        <f>(D18*10000)*D69</f>
        <v>150</v>
      </c>
      <c r="E32" s="139">
        <f>(E18*10000)*E69</f>
        <v>300</v>
      </c>
      <c r="F32" s="139">
        <f>(F18*10000)*F69</f>
        <v>600</v>
      </c>
      <c r="G32" s="175" t="s">
        <v>401</v>
      </c>
    </row>
    <row r="33" spans="1:8" ht="13.9" customHeight="1" x14ac:dyDescent="0.2">
      <c r="A33" s="71" t="s">
        <v>324</v>
      </c>
      <c r="B33" s="141" t="s">
        <v>208</v>
      </c>
      <c r="C33" s="139" t="s">
        <v>205</v>
      </c>
      <c r="D33" s="139">
        <v>0</v>
      </c>
      <c r="E33" s="139">
        <f>(E19*E69)*10000*E72</f>
        <v>9000</v>
      </c>
      <c r="F33" s="139">
        <f>(F19*F69)*10000*F72</f>
        <v>12000</v>
      </c>
    </row>
    <row r="34" spans="1:8" ht="92.25" customHeight="1" x14ac:dyDescent="0.2">
      <c r="A34" s="71" t="s">
        <v>329</v>
      </c>
      <c r="B34" s="141" t="s">
        <v>328</v>
      </c>
      <c r="C34" s="139" t="s">
        <v>205</v>
      </c>
      <c r="D34" s="91">
        <f>SUM(D35:D37)</f>
        <v>725.7600000000001</v>
      </c>
      <c r="E34" s="91">
        <f t="shared" ref="E34:F34" si="3">SUM(E35:E37)</f>
        <v>932.95999999999992</v>
      </c>
      <c r="F34" s="91">
        <f t="shared" si="3"/>
        <v>15566.152</v>
      </c>
      <c r="G34" s="166" t="s">
        <v>366</v>
      </c>
    </row>
    <row r="35" spans="1:8" ht="38.25" x14ac:dyDescent="0.2">
      <c r="A35" s="71" t="s">
        <v>330</v>
      </c>
      <c r="B35" s="141" t="s">
        <v>327</v>
      </c>
      <c r="C35" s="139" t="s">
        <v>205</v>
      </c>
      <c r="D35" s="139">
        <v>0</v>
      </c>
      <c r="E35" s="139">
        <v>0</v>
      </c>
      <c r="F35" s="139">
        <f>(F45*F46)*F80</f>
        <v>10281.6</v>
      </c>
      <c r="G35" s="175" t="s">
        <v>375</v>
      </c>
    </row>
    <row r="36" spans="1:8" ht="38.25" x14ac:dyDescent="0.2">
      <c r="A36" s="71" t="s">
        <v>331</v>
      </c>
      <c r="B36" s="141" t="s">
        <v>326</v>
      </c>
      <c r="C36" s="139" t="s">
        <v>205</v>
      </c>
      <c r="D36" s="139">
        <f>(D40*D41)*D79</f>
        <v>725.7600000000001</v>
      </c>
      <c r="E36" s="139">
        <f>(E40*E41)*E79</f>
        <v>932.95999999999992</v>
      </c>
      <c r="F36" s="139">
        <f>(F40*F41)*F79</f>
        <v>3598.56</v>
      </c>
      <c r="G36" s="175" t="s">
        <v>374</v>
      </c>
    </row>
    <row r="37" spans="1:8" ht="25.5" x14ac:dyDescent="0.2">
      <c r="A37" s="71" t="s">
        <v>332</v>
      </c>
      <c r="B37" s="141" t="s">
        <v>325</v>
      </c>
      <c r="C37" s="139" t="s">
        <v>205</v>
      </c>
      <c r="D37" s="139">
        <v>0</v>
      </c>
      <c r="E37" s="139">
        <v>0</v>
      </c>
      <c r="F37" s="91">
        <f>F51*F81</f>
        <v>1685.992</v>
      </c>
      <c r="G37" s="175" t="s">
        <v>402</v>
      </c>
    </row>
    <row r="38" spans="1:8" ht="42" customHeight="1" x14ac:dyDescent="0.2">
      <c r="A38" s="151" t="s">
        <v>221</v>
      </c>
      <c r="B38" s="152" t="s">
        <v>358</v>
      </c>
      <c r="C38" s="88"/>
      <c r="D38" s="88"/>
      <c r="E38" s="88"/>
      <c r="F38" s="88"/>
      <c r="G38" s="88"/>
    </row>
    <row r="39" spans="1:8" ht="51" x14ac:dyDescent="0.2">
      <c r="A39" s="71" t="s">
        <v>335</v>
      </c>
      <c r="B39" s="141" t="s">
        <v>258</v>
      </c>
      <c r="C39" s="139" t="s">
        <v>202</v>
      </c>
      <c r="D39" s="87">
        <f>D28/D73</f>
        <v>1296</v>
      </c>
      <c r="E39" s="139">
        <f>E28/E73</f>
        <v>1904</v>
      </c>
      <c r="F39" s="139">
        <f>F28/F73</f>
        <v>4760</v>
      </c>
      <c r="G39" s="175" t="s">
        <v>286</v>
      </c>
    </row>
    <row r="40" spans="1:8" ht="38.25" x14ac:dyDescent="0.2">
      <c r="A40" s="71" t="s">
        <v>225</v>
      </c>
      <c r="B40" s="141" t="s">
        <v>157</v>
      </c>
      <c r="C40" s="139" t="s">
        <v>23</v>
      </c>
      <c r="D40" s="87">
        <f>D39*D84/1000</f>
        <v>90.72</v>
      </c>
      <c r="E40" s="87">
        <f>E39*E84/1000</f>
        <v>133.28</v>
      </c>
      <c r="F40" s="87">
        <f>F39*F84/1000</f>
        <v>333.2</v>
      </c>
      <c r="G40" s="144" t="s">
        <v>287</v>
      </c>
      <c r="H40" s="433"/>
    </row>
    <row r="41" spans="1:8" ht="28.15" customHeight="1" x14ac:dyDescent="0.2">
      <c r="A41" s="71" t="s">
        <v>226</v>
      </c>
      <c r="B41" s="75" t="s">
        <v>420</v>
      </c>
      <c r="C41" s="77" t="s">
        <v>312</v>
      </c>
      <c r="D41" s="82">
        <v>0.8</v>
      </c>
      <c r="E41" s="82">
        <v>0.7</v>
      </c>
      <c r="F41" s="82">
        <v>0.9</v>
      </c>
      <c r="G41" s="439" t="s">
        <v>373</v>
      </c>
      <c r="H41" s="433"/>
    </row>
    <row r="42" spans="1:8" ht="28.15" customHeight="1" x14ac:dyDescent="0.2">
      <c r="B42" s="75" t="s">
        <v>418</v>
      </c>
      <c r="C42" s="77" t="s">
        <v>312</v>
      </c>
      <c r="D42" s="82">
        <v>0.8</v>
      </c>
      <c r="E42" s="82">
        <v>0.7</v>
      </c>
      <c r="F42" s="82">
        <v>0</v>
      </c>
      <c r="G42" s="439"/>
      <c r="H42" s="433"/>
    </row>
    <row r="43" spans="1:8" ht="28.15" customHeight="1" x14ac:dyDescent="0.2">
      <c r="B43" s="75" t="s">
        <v>419</v>
      </c>
      <c r="C43" s="77" t="s">
        <v>312</v>
      </c>
      <c r="D43" s="82">
        <v>0</v>
      </c>
      <c r="E43" s="82">
        <v>0</v>
      </c>
      <c r="F43" s="82">
        <v>0.9</v>
      </c>
      <c r="G43" s="439"/>
      <c r="H43" s="433"/>
    </row>
    <row r="44" spans="1:8" ht="28.15" customHeight="1" x14ac:dyDescent="0.2">
      <c r="A44" s="71" t="s">
        <v>227</v>
      </c>
      <c r="B44" s="75" t="s">
        <v>158</v>
      </c>
      <c r="C44" s="77" t="s">
        <v>312</v>
      </c>
      <c r="D44" s="82">
        <v>0.2</v>
      </c>
      <c r="E44" s="82">
        <v>0.3</v>
      </c>
      <c r="F44" s="82">
        <v>0.1</v>
      </c>
      <c r="G44" s="439"/>
      <c r="H44" s="433"/>
    </row>
    <row r="45" spans="1:8" ht="38.25" x14ac:dyDescent="0.2">
      <c r="A45" s="71" t="s">
        <v>231</v>
      </c>
      <c r="B45" s="75" t="s">
        <v>159</v>
      </c>
      <c r="C45" s="77" t="s">
        <v>23</v>
      </c>
      <c r="D45" s="77">
        <f>D39*D83/1000</f>
        <v>233.28</v>
      </c>
      <c r="E45" s="77">
        <f>E39*E83/1000</f>
        <v>342.72</v>
      </c>
      <c r="F45" s="77">
        <f>F39*F83/1000</f>
        <v>856.8</v>
      </c>
      <c r="G45" s="144" t="s">
        <v>288</v>
      </c>
      <c r="H45" s="433"/>
    </row>
    <row r="46" spans="1:8" ht="28.15" customHeight="1" x14ac:dyDescent="0.2">
      <c r="A46" s="71" t="s">
        <v>232</v>
      </c>
      <c r="B46" s="75" t="s">
        <v>160</v>
      </c>
      <c r="C46" s="77" t="s">
        <v>312</v>
      </c>
      <c r="D46" s="78">
        <v>0</v>
      </c>
      <c r="E46" s="78">
        <v>0</v>
      </c>
      <c r="F46" s="78">
        <v>0.8</v>
      </c>
      <c r="G46" s="439" t="s">
        <v>373</v>
      </c>
    </row>
    <row r="47" spans="1:8" ht="28.15" customHeight="1" x14ac:dyDescent="0.2">
      <c r="A47" s="71" t="s">
        <v>233</v>
      </c>
      <c r="B47" s="75" t="s">
        <v>161</v>
      </c>
      <c r="C47" s="77" t="s">
        <v>312</v>
      </c>
      <c r="D47" s="78">
        <v>1</v>
      </c>
      <c r="E47" s="78">
        <v>1</v>
      </c>
      <c r="F47" s="78">
        <v>0.2</v>
      </c>
      <c r="G47" s="439"/>
    </row>
    <row r="48" spans="1:8" ht="25.5" x14ac:dyDescent="0.2">
      <c r="A48" s="71" t="s">
        <v>234</v>
      </c>
      <c r="B48" s="75" t="s">
        <v>214</v>
      </c>
      <c r="C48" s="77" t="s">
        <v>23</v>
      </c>
      <c r="D48" s="77">
        <f>SUM(D49:D50)</f>
        <v>572.4</v>
      </c>
      <c r="E48" s="77">
        <f>SUM(E49:E50)</f>
        <v>915.6</v>
      </c>
      <c r="F48" s="77">
        <f t="shared" ref="F48" si="4">SUM(F49:F50)</f>
        <v>2289</v>
      </c>
      <c r="G48" s="144" t="s">
        <v>371</v>
      </c>
    </row>
    <row r="49" spans="1:8" ht="38.25" x14ac:dyDescent="0.2">
      <c r="A49" s="71" t="s">
        <v>336</v>
      </c>
      <c r="B49" s="75" t="s">
        <v>203</v>
      </c>
      <c r="C49" s="77" t="s">
        <v>23</v>
      </c>
      <c r="D49" s="77">
        <f>D28/D85</f>
        <v>486</v>
      </c>
      <c r="E49" s="77">
        <f>E28/E85</f>
        <v>714</v>
      </c>
      <c r="F49" s="77">
        <f>F28/F85</f>
        <v>1785</v>
      </c>
      <c r="G49" s="144" t="s">
        <v>372</v>
      </c>
      <c r="H49" s="72"/>
    </row>
    <row r="50" spans="1:8" ht="45" customHeight="1" x14ac:dyDescent="0.2">
      <c r="A50" s="71" t="s">
        <v>337</v>
      </c>
      <c r="B50" s="75" t="s">
        <v>213</v>
      </c>
      <c r="C50" s="77" t="s">
        <v>23</v>
      </c>
      <c r="D50" s="139">
        <f>D29/D91</f>
        <v>86.4</v>
      </c>
      <c r="E50" s="139">
        <f>E29/E91</f>
        <v>201.6</v>
      </c>
      <c r="F50" s="139">
        <f>F29/F91</f>
        <v>504</v>
      </c>
      <c r="G50" s="144" t="s">
        <v>403</v>
      </c>
      <c r="H50" s="72"/>
    </row>
    <row r="51" spans="1:8" ht="16.149999999999999" customHeight="1" x14ac:dyDescent="0.2">
      <c r="A51" s="71" t="s">
        <v>338</v>
      </c>
      <c r="B51" s="75" t="s">
        <v>313</v>
      </c>
      <c r="C51" s="77" t="s">
        <v>204</v>
      </c>
      <c r="D51" s="77">
        <f>D50*D52</f>
        <v>0</v>
      </c>
      <c r="E51" s="77">
        <f>E52*E50</f>
        <v>0</v>
      </c>
      <c r="F51" s="81">
        <f>F39*F82/1000</f>
        <v>73.304000000000002</v>
      </c>
      <c r="G51" s="144" t="s">
        <v>370</v>
      </c>
      <c r="H51" s="72"/>
    </row>
    <row r="52" spans="1:8" ht="42" customHeight="1" x14ac:dyDescent="0.2">
      <c r="A52" s="71" t="s">
        <v>339</v>
      </c>
      <c r="B52" s="75" t="s">
        <v>162</v>
      </c>
      <c r="C52" s="77" t="s">
        <v>312</v>
      </c>
      <c r="D52" s="78">
        <v>0</v>
      </c>
      <c r="E52" s="78">
        <v>0</v>
      </c>
      <c r="F52" s="78">
        <v>1</v>
      </c>
      <c r="G52" s="439" t="s">
        <v>373</v>
      </c>
      <c r="H52" s="72"/>
    </row>
    <row r="53" spans="1:8" ht="25.5" x14ac:dyDescent="0.2">
      <c r="A53" s="71" t="s">
        <v>340</v>
      </c>
      <c r="B53" s="75" t="s">
        <v>163</v>
      </c>
      <c r="C53" s="77" t="s">
        <v>312</v>
      </c>
      <c r="D53" s="78">
        <v>1</v>
      </c>
      <c r="E53" s="78">
        <v>1</v>
      </c>
      <c r="F53" s="78">
        <v>0</v>
      </c>
      <c r="G53" s="439"/>
      <c r="H53" s="72"/>
    </row>
    <row r="54" spans="1:8" ht="46.9" customHeight="1" x14ac:dyDescent="0.2">
      <c r="A54" s="151" t="s">
        <v>222</v>
      </c>
      <c r="B54" s="152" t="s">
        <v>357</v>
      </c>
      <c r="C54" s="142"/>
      <c r="D54" s="142"/>
      <c r="E54" s="142"/>
      <c r="F54" s="142"/>
      <c r="G54" s="142"/>
      <c r="H54" s="72"/>
    </row>
    <row r="55" spans="1:8" ht="89.25" x14ac:dyDescent="0.2">
      <c r="A55" s="71" t="s">
        <v>228</v>
      </c>
      <c r="B55" s="141" t="s">
        <v>172</v>
      </c>
      <c r="C55" s="139" t="s">
        <v>305</v>
      </c>
      <c r="D55" s="91">
        <f>(D26+D34+D31+D33+D32)/(D14*10000)</f>
        <v>2.1950304000000003</v>
      </c>
      <c r="E55" s="91">
        <f>(E26+E34+E31+E33+E32)/(E14*10000)</f>
        <v>1.8846592000000002</v>
      </c>
      <c r="F55" s="91">
        <f>(F26+F34+F31+F33+F32)/(F14*10000)</f>
        <v>2.3816615200000002</v>
      </c>
      <c r="G55" s="175" t="s">
        <v>333</v>
      </c>
      <c r="H55" s="72"/>
    </row>
    <row r="56" spans="1:8" ht="102" x14ac:dyDescent="0.2">
      <c r="B56" s="141" t="s">
        <v>236</v>
      </c>
      <c r="C56" s="139" t="s">
        <v>305</v>
      </c>
      <c r="D56" s="91">
        <f>(D26+D34+D31+D33+D32)/((D14-D16)*10000)</f>
        <v>3.1357577142857145</v>
      </c>
      <c r="E56" s="91">
        <f>(E26+E34+E31+E33+E32)/((E14-E16)*10000)</f>
        <v>2.6923702857142859</v>
      </c>
      <c r="F56" s="91">
        <f>(F26+F34+F31+F33+F32)/((F14-F16)*10000)</f>
        <v>3.4023736000000002</v>
      </c>
      <c r="G56" s="175" t="s">
        <v>334</v>
      </c>
      <c r="H56" s="72"/>
    </row>
    <row r="57" spans="1:8" ht="61.5" customHeight="1" x14ac:dyDescent="0.2">
      <c r="A57" s="71" t="s">
        <v>229</v>
      </c>
      <c r="B57" s="141" t="s">
        <v>210</v>
      </c>
      <c r="C57" s="139" t="s">
        <v>209</v>
      </c>
      <c r="D57" s="87">
        <f>D39/D14</f>
        <v>518.4</v>
      </c>
      <c r="E57" s="87">
        <f>E39/E14</f>
        <v>380.8</v>
      </c>
      <c r="F57" s="87">
        <f>F39/F14</f>
        <v>476</v>
      </c>
      <c r="G57" s="173" t="s">
        <v>404</v>
      </c>
      <c r="H57" s="72"/>
    </row>
    <row r="58" spans="1:8" x14ac:dyDescent="0.2">
      <c r="A58" s="71" t="s">
        <v>230</v>
      </c>
      <c r="B58" s="141" t="s">
        <v>173</v>
      </c>
      <c r="C58" s="139" t="s">
        <v>190</v>
      </c>
      <c r="D58" s="91">
        <f>D30/(D15*10000)</f>
        <v>1.7172000000000001</v>
      </c>
      <c r="E58" s="91">
        <f>E30/(E15*10000)</f>
        <v>1.3734</v>
      </c>
      <c r="F58" s="91">
        <f>F30/(F15*10000)</f>
        <v>1.962</v>
      </c>
      <c r="G58" s="72"/>
      <c r="H58" s="72"/>
    </row>
    <row r="59" spans="1:8" x14ac:dyDescent="0.2">
      <c r="D59" s="139"/>
      <c r="E59" s="139"/>
      <c r="F59" s="91"/>
      <c r="H59" s="72"/>
    </row>
    <row r="60" spans="1:8" x14ac:dyDescent="0.2">
      <c r="D60" s="139"/>
      <c r="E60" s="139"/>
      <c r="F60" s="91"/>
      <c r="H60" s="72"/>
    </row>
    <row r="61" spans="1:8" x14ac:dyDescent="0.2">
      <c r="D61" s="139"/>
      <c r="E61" s="139"/>
      <c r="F61" s="91"/>
      <c r="H61" s="72"/>
    </row>
    <row r="62" spans="1:8" x14ac:dyDescent="0.2">
      <c r="D62" s="139"/>
      <c r="E62" s="139"/>
      <c r="F62" s="91"/>
      <c r="H62" s="72"/>
    </row>
    <row r="63" spans="1:8" x14ac:dyDescent="0.2">
      <c r="D63" s="139"/>
      <c r="E63" s="139"/>
      <c r="F63" s="91"/>
      <c r="H63" s="72"/>
    </row>
    <row r="64" spans="1:8" x14ac:dyDescent="0.2">
      <c r="D64" s="139"/>
      <c r="E64" s="139"/>
      <c r="F64" s="91"/>
      <c r="H64" s="72"/>
    </row>
    <row r="65" spans="1:8" ht="13.9" customHeight="1" x14ac:dyDescent="0.2">
      <c r="D65" s="139"/>
      <c r="E65" s="139"/>
      <c r="F65" s="139"/>
    </row>
    <row r="66" spans="1:8" ht="13.9" customHeight="1" x14ac:dyDescent="0.2">
      <c r="D66" s="139"/>
      <c r="E66" s="139"/>
      <c r="F66" s="139"/>
    </row>
    <row r="67" spans="1:8" ht="34.9" customHeight="1" x14ac:dyDescent="0.2">
      <c r="A67" s="150"/>
      <c r="B67" s="429" t="s">
        <v>360</v>
      </c>
      <c r="C67" s="429"/>
      <c r="D67" s="429"/>
      <c r="E67" s="429"/>
      <c r="F67" s="429"/>
      <c r="G67" s="429"/>
      <c r="H67" s="175"/>
    </row>
    <row r="68" spans="1:8" ht="34.9" customHeight="1" x14ac:dyDescent="0.2">
      <c r="A68" s="148" t="s">
        <v>289</v>
      </c>
      <c r="B68" s="148" t="s">
        <v>293</v>
      </c>
      <c r="C68" s="172" t="s">
        <v>181</v>
      </c>
      <c r="D68" s="172" t="s">
        <v>290</v>
      </c>
      <c r="E68" s="172" t="s">
        <v>291</v>
      </c>
      <c r="F68" s="172" t="s">
        <v>292</v>
      </c>
      <c r="G68" s="149" t="s">
        <v>83</v>
      </c>
      <c r="H68" s="175"/>
    </row>
    <row r="69" spans="1:8" ht="55.15" customHeight="1" x14ac:dyDescent="0.2">
      <c r="A69" s="71" t="s">
        <v>134</v>
      </c>
      <c r="B69" s="141" t="s">
        <v>147</v>
      </c>
      <c r="C69" s="139" t="s">
        <v>304</v>
      </c>
      <c r="D69" s="139">
        <v>0.6</v>
      </c>
      <c r="E69" s="139">
        <v>0.6</v>
      </c>
      <c r="F69" s="139">
        <v>0.6</v>
      </c>
      <c r="G69" s="167" t="s">
        <v>211</v>
      </c>
      <c r="H69" s="175"/>
    </row>
    <row r="70" spans="1:8" ht="34.15" customHeight="1" x14ac:dyDescent="0.2">
      <c r="A70" s="71" t="s">
        <v>145</v>
      </c>
      <c r="B70" s="141" t="s">
        <v>148</v>
      </c>
      <c r="C70" s="139" t="s">
        <v>305</v>
      </c>
      <c r="D70" s="139">
        <v>1.6</v>
      </c>
      <c r="E70" s="139">
        <v>1.6</v>
      </c>
      <c r="F70" s="139">
        <v>1.6</v>
      </c>
      <c r="G70" s="167" t="s">
        <v>215</v>
      </c>
      <c r="H70" s="175"/>
    </row>
    <row r="71" spans="1:8" ht="40.9" customHeight="1" x14ac:dyDescent="0.2">
      <c r="A71" s="71" t="s">
        <v>220</v>
      </c>
      <c r="B71" s="141" t="s">
        <v>149</v>
      </c>
      <c r="C71" s="139" t="s">
        <v>192</v>
      </c>
      <c r="D71" s="139">
        <v>9</v>
      </c>
      <c r="E71" s="139">
        <f>'Калькулятор чувствительности'!D67</f>
        <v>7</v>
      </c>
      <c r="F71" s="139">
        <v>10</v>
      </c>
      <c r="G71" s="167" t="s">
        <v>150</v>
      </c>
    </row>
    <row r="72" spans="1:8" ht="58.15" customHeight="1" x14ac:dyDescent="0.2">
      <c r="A72" s="71" t="s">
        <v>221</v>
      </c>
      <c r="B72" s="141" t="s">
        <v>191</v>
      </c>
      <c r="C72" s="139" t="s">
        <v>192</v>
      </c>
      <c r="D72" s="139" t="s">
        <v>68</v>
      </c>
      <c r="E72" s="139">
        <v>5</v>
      </c>
      <c r="F72" s="139">
        <v>5</v>
      </c>
      <c r="G72" s="167" t="s">
        <v>151</v>
      </c>
    </row>
    <row r="73" spans="1:8" ht="38.25" x14ac:dyDescent="0.2">
      <c r="A73" s="71" t="s">
        <v>222</v>
      </c>
      <c r="B73" s="141" t="s">
        <v>193</v>
      </c>
      <c r="C73" s="139" t="s">
        <v>194</v>
      </c>
      <c r="D73" s="139">
        <v>30</v>
      </c>
      <c r="E73" s="139">
        <v>30</v>
      </c>
      <c r="F73" s="139">
        <v>30</v>
      </c>
      <c r="G73" s="167" t="s">
        <v>216</v>
      </c>
      <c r="H73" s="85"/>
    </row>
    <row r="74" spans="1:8" ht="46.15" customHeight="1" x14ac:dyDescent="0.2">
      <c r="A74" s="71" t="s">
        <v>235</v>
      </c>
      <c r="B74" s="141" t="s">
        <v>195</v>
      </c>
      <c r="C74" s="139" t="s">
        <v>3</v>
      </c>
      <c r="D74" s="139">
        <v>4.0000000000000002E-4</v>
      </c>
      <c r="E74" s="139">
        <v>3.5E-4</v>
      </c>
      <c r="F74" s="139">
        <v>2.9999999999999997E-4</v>
      </c>
      <c r="G74" s="167" t="s">
        <v>217</v>
      </c>
      <c r="H74" s="85"/>
    </row>
    <row r="75" spans="1:8" ht="126" customHeight="1" x14ac:dyDescent="0.2">
      <c r="A75" s="71" t="s">
        <v>341</v>
      </c>
      <c r="B75" s="141" t="s">
        <v>367</v>
      </c>
      <c r="C75" s="139" t="s">
        <v>3</v>
      </c>
      <c r="D75" s="139">
        <v>2.5999999999999999E-3</v>
      </c>
      <c r="E75" s="139">
        <v>2.5999999999999999E-3</v>
      </c>
      <c r="F75" s="139" t="s">
        <v>68</v>
      </c>
      <c r="G75" s="173" t="s">
        <v>405</v>
      </c>
    </row>
    <row r="76" spans="1:8" ht="84.75" customHeight="1" x14ac:dyDescent="0.2">
      <c r="A76" s="71" t="s">
        <v>342</v>
      </c>
      <c r="B76" s="141" t="s">
        <v>368</v>
      </c>
      <c r="C76" s="139" t="s">
        <v>3</v>
      </c>
      <c r="D76" s="139" t="s">
        <v>68</v>
      </c>
      <c r="E76" s="139" t="s">
        <v>68</v>
      </c>
      <c r="F76" s="139">
        <v>3.0000000000000001E-3</v>
      </c>
      <c r="G76" s="173" t="s">
        <v>406</v>
      </c>
    </row>
    <row r="77" spans="1:8" ht="19.899999999999999" customHeight="1" x14ac:dyDescent="0.2">
      <c r="A77" s="71" t="s">
        <v>343</v>
      </c>
      <c r="B77" s="141" t="s">
        <v>196</v>
      </c>
      <c r="C77" s="139" t="s">
        <v>3</v>
      </c>
      <c r="D77" s="139" t="s">
        <v>68</v>
      </c>
      <c r="E77" s="139">
        <v>1.4E-3</v>
      </c>
      <c r="F77" s="139">
        <v>1.4E-3</v>
      </c>
      <c r="G77" s="438" t="s">
        <v>407</v>
      </c>
    </row>
    <row r="78" spans="1:8" ht="31.5" customHeight="1" x14ac:dyDescent="0.2">
      <c r="A78" s="71" t="s">
        <v>344</v>
      </c>
      <c r="B78" s="141" t="s">
        <v>152</v>
      </c>
      <c r="C78" s="139" t="s">
        <v>3</v>
      </c>
      <c r="D78" s="139">
        <v>0.1</v>
      </c>
      <c r="E78" s="139">
        <v>0.1</v>
      </c>
      <c r="F78" s="139">
        <v>0.1</v>
      </c>
      <c r="G78" s="438"/>
    </row>
    <row r="79" spans="1:8" x14ac:dyDescent="0.2">
      <c r="A79" s="71" t="s">
        <v>345</v>
      </c>
      <c r="B79" s="141" t="s">
        <v>153</v>
      </c>
      <c r="C79" s="139" t="s">
        <v>194</v>
      </c>
      <c r="D79" s="139">
        <v>10</v>
      </c>
      <c r="E79" s="139">
        <v>10</v>
      </c>
      <c r="F79" s="139">
        <v>12</v>
      </c>
      <c r="G79" s="438"/>
    </row>
    <row r="80" spans="1:8" ht="27" customHeight="1" x14ac:dyDescent="0.2">
      <c r="A80" s="71" t="s">
        <v>346</v>
      </c>
      <c r="B80" s="141" t="s">
        <v>197</v>
      </c>
      <c r="C80" s="139" t="s">
        <v>194</v>
      </c>
      <c r="D80" s="139" t="s">
        <v>68</v>
      </c>
      <c r="E80" s="139">
        <v>15</v>
      </c>
      <c r="F80" s="139">
        <v>15</v>
      </c>
      <c r="G80" s="438"/>
    </row>
    <row r="81" spans="1:8" ht="34.15" customHeight="1" x14ac:dyDescent="0.2">
      <c r="A81" s="71" t="s">
        <v>347</v>
      </c>
      <c r="B81" s="141" t="s">
        <v>408</v>
      </c>
      <c r="C81" s="139" t="s">
        <v>194</v>
      </c>
      <c r="D81" s="139" t="s">
        <v>68</v>
      </c>
      <c r="E81" s="139" t="s">
        <v>68</v>
      </c>
      <c r="F81" s="139">
        <v>23</v>
      </c>
      <c r="G81" s="438"/>
      <c r="H81" s="72"/>
    </row>
    <row r="82" spans="1:8" ht="31.15" customHeight="1" x14ac:dyDescent="0.2">
      <c r="A82" s="71" t="s">
        <v>348</v>
      </c>
      <c r="B82" s="141" t="s">
        <v>144</v>
      </c>
      <c r="C82" s="139" t="s">
        <v>308</v>
      </c>
      <c r="D82" s="139" t="s">
        <v>68</v>
      </c>
      <c r="E82" s="139" t="s">
        <v>68</v>
      </c>
      <c r="F82" s="139">
        <v>15.4</v>
      </c>
      <c r="G82" s="438" t="s">
        <v>409</v>
      </c>
      <c r="H82" s="72"/>
    </row>
    <row r="83" spans="1:8" ht="30" customHeight="1" x14ac:dyDescent="0.2">
      <c r="A83" s="71" t="s">
        <v>349</v>
      </c>
      <c r="B83" s="141" t="s">
        <v>198</v>
      </c>
      <c r="C83" s="139" t="s">
        <v>307</v>
      </c>
      <c r="D83" s="139">
        <v>180</v>
      </c>
      <c r="E83" s="139">
        <v>180</v>
      </c>
      <c r="F83" s="139">
        <v>180</v>
      </c>
      <c r="G83" s="438"/>
      <c r="H83" s="72"/>
    </row>
    <row r="84" spans="1:8" ht="19.149999999999999" customHeight="1" x14ac:dyDescent="0.2">
      <c r="A84" s="71" t="s">
        <v>350</v>
      </c>
      <c r="B84" s="141" t="s">
        <v>154</v>
      </c>
      <c r="C84" s="139" t="s">
        <v>307</v>
      </c>
      <c r="D84" s="139">
        <v>70</v>
      </c>
      <c r="E84" s="139">
        <v>70</v>
      </c>
      <c r="F84" s="139">
        <v>70</v>
      </c>
      <c r="G84" s="438"/>
      <c r="H84" s="72"/>
    </row>
    <row r="85" spans="1:8" ht="33" customHeight="1" x14ac:dyDescent="0.2">
      <c r="A85" s="71" t="s">
        <v>351</v>
      </c>
      <c r="B85" s="141" t="s">
        <v>309</v>
      </c>
      <c r="C85" s="139" t="s">
        <v>199</v>
      </c>
      <c r="D85" s="139">
        <v>80</v>
      </c>
      <c r="E85" s="139">
        <v>80</v>
      </c>
      <c r="F85" s="139">
        <v>80</v>
      </c>
      <c r="G85" s="438"/>
      <c r="H85" s="72"/>
    </row>
    <row r="86" spans="1:8" ht="63" customHeight="1" x14ac:dyDescent="0.2">
      <c r="A86" s="71" t="s">
        <v>352</v>
      </c>
      <c r="B86" s="141" t="s">
        <v>155</v>
      </c>
      <c r="C86" s="139" t="s">
        <v>410</v>
      </c>
      <c r="D86" s="168">
        <v>1.2</v>
      </c>
      <c r="E86" s="168">
        <v>1.2</v>
      </c>
      <c r="F86" s="168">
        <v>1.2</v>
      </c>
      <c r="G86" s="438" t="s">
        <v>411</v>
      </c>
      <c r="H86" s="72"/>
    </row>
    <row r="87" spans="1:8" ht="21" customHeight="1" x14ac:dyDescent="0.2">
      <c r="A87" s="71" t="s">
        <v>353</v>
      </c>
      <c r="B87" s="141" t="s">
        <v>156</v>
      </c>
      <c r="C87" s="139" t="s">
        <v>410</v>
      </c>
      <c r="D87" s="168">
        <v>1.2</v>
      </c>
      <c r="E87" s="168">
        <v>1.2</v>
      </c>
      <c r="F87" s="168">
        <v>1.2</v>
      </c>
      <c r="G87" s="438"/>
      <c r="H87" s="72"/>
    </row>
    <row r="88" spans="1:8" ht="24" customHeight="1" x14ac:dyDescent="0.2">
      <c r="A88" s="71" t="s">
        <v>354</v>
      </c>
      <c r="B88" s="141" t="s">
        <v>201</v>
      </c>
      <c r="C88" s="139" t="s">
        <v>199</v>
      </c>
      <c r="D88" s="139">
        <v>30</v>
      </c>
      <c r="E88" s="139">
        <v>30</v>
      </c>
      <c r="F88" s="139">
        <v>30</v>
      </c>
      <c r="G88" s="438" t="s">
        <v>76</v>
      </c>
      <c r="H88" s="72"/>
    </row>
    <row r="89" spans="1:8" ht="36" customHeight="1" x14ac:dyDescent="0.2">
      <c r="A89" s="71" t="s">
        <v>355</v>
      </c>
      <c r="B89" s="141" t="s">
        <v>306</v>
      </c>
      <c r="C89" s="139" t="s">
        <v>24</v>
      </c>
      <c r="D89" s="86">
        <v>0.8</v>
      </c>
      <c r="E89" s="86">
        <v>0.8</v>
      </c>
      <c r="F89" s="86">
        <v>0.8</v>
      </c>
      <c r="G89" s="438"/>
      <c r="H89" s="72"/>
    </row>
    <row r="90" spans="1:8" ht="45.75" customHeight="1" x14ac:dyDescent="0.2">
      <c r="A90" s="71" t="s">
        <v>356</v>
      </c>
      <c r="B90" s="141" t="s">
        <v>311</v>
      </c>
      <c r="C90" s="139" t="s">
        <v>24</v>
      </c>
      <c r="D90" s="86">
        <v>0.1</v>
      </c>
      <c r="E90" s="86">
        <v>0.15</v>
      </c>
      <c r="F90" s="86">
        <v>0.15</v>
      </c>
      <c r="G90" s="438"/>
      <c r="H90" s="72"/>
    </row>
    <row r="91" spans="1:8" ht="27" customHeight="1" x14ac:dyDescent="0.2">
      <c r="A91" s="71" t="s">
        <v>369</v>
      </c>
      <c r="B91" s="141" t="s">
        <v>310</v>
      </c>
      <c r="C91" s="139" t="s">
        <v>205</v>
      </c>
      <c r="D91" s="139">
        <v>50</v>
      </c>
      <c r="E91" s="139">
        <v>50</v>
      </c>
      <c r="F91" s="139">
        <v>50</v>
      </c>
      <c r="G91" s="438"/>
      <c r="H91" s="72"/>
    </row>
    <row r="92" spans="1:8" x14ac:dyDescent="0.2">
      <c r="G92" s="147"/>
      <c r="H92" s="72"/>
    </row>
    <row r="93" spans="1:8" x14ac:dyDescent="0.2">
      <c r="G93" s="147"/>
      <c r="H93" s="72"/>
    </row>
    <row r="94" spans="1:8" x14ac:dyDescent="0.2">
      <c r="G94" s="147"/>
      <c r="H94" s="72"/>
    </row>
    <row r="95" spans="1:8" x14ac:dyDescent="0.2">
      <c r="G95" s="147"/>
      <c r="H95" s="72"/>
    </row>
    <row r="96" spans="1:8" x14ac:dyDescent="0.2">
      <c r="G96" s="147"/>
      <c r="H96" s="72"/>
    </row>
    <row r="97" spans="7:7" s="72" customFormat="1" x14ac:dyDescent="0.2">
      <c r="G97" s="147"/>
    </row>
    <row r="98" spans="7:7" s="72" customFormat="1" x14ac:dyDescent="0.2">
      <c r="G98" s="147"/>
    </row>
    <row r="99" spans="7:7" s="72" customFormat="1" x14ac:dyDescent="0.2">
      <c r="G99" s="147"/>
    </row>
    <row r="100" spans="7:7" s="72" customFormat="1" x14ac:dyDescent="0.2">
      <c r="G100" s="147"/>
    </row>
    <row r="101" spans="7:7" s="72" customFormat="1" x14ac:dyDescent="0.2">
      <c r="G101" s="147"/>
    </row>
    <row r="102" spans="7:7" s="72" customFormat="1" x14ac:dyDescent="0.2">
      <c r="G102" s="147"/>
    </row>
    <row r="103" spans="7:7" s="72" customFormat="1" x14ac:dyDescent="0.2">
      <c r="G103" s="147"/>
    </row>
    <row r="104" spans="7:7" s="72" customFormat="1" x14ac:dyDescent="0.2">
      <c r="G104" s="147"/>
    </row>
    <row r="105" spans="7:7" s="72" customFormat="1" x14ac:dyDescent="0.2">
      <c r="G105" s="147"/>
    </row>
    <row r="106" spans="7:7" s="72" customFormat="1" x14ac:dyDescent="0.2">
      <c r="G106" s="147"/>
    </row>
    <row r="107" spans="7:7" s="72" customFormat="1" x14ac:dyDescent="0.2">
      <c r="G107" s="147"/>
    </row>
    <row r="108" spans="7:7" s="72" customFormat="1" x14ac:dyDescent="0.2">
      <c r="G108" s="147"/>
    </row>
    <row r="109" spans="7:7" s="72" customFormat="1" x14ac:dyDescent="0.2">
      <c r="G109" s="147"/>
    </row>
    <row r="110" spans="7:7" s="72" customFormat="1" x14ac:dyDescent="0.2">
      <c r="G110" s="147"/>
    </row>
    <row r="111" spans="7:7" s="72" customFormat="1" x14ac:dyDescent="0.2">
      <c r="G111" s="147"/>
    </row>
    <row r="112" spans="7:7" s="72" customFormat="1" x14ac:dyDescent="0.2">
      <c r="G112" s="147"/>
    </row>
    <row r="113" spans="7:7" s="72" customFormat="1" x14ac:dyDescent="0.2">
      <c r="G113" s="147"/>
    </row>
    <row r="114" spans="7:7" s="72" customFormat="1" x14ac:dyDescent="0.2">
      <c r="G114" s="147"/>
    </row>
    <row r="115" spans="7:7" s="72" customFormat="1" x14ac:dyDescent="0.2">
      <c r="G115" s="147"/>
    </row>
    <row r="116" spans="7:7" s="72" customFormat="1" x14ac:dyDescent="0.2">
      <c r="G116" s="147"/>
    </row>
    <row r="117" spans="7:7" s="72" customFormat="1" x14ac:dyDescent="0.2">
      <c r="G117" s="147"/>
    </row>
    <row r="118" spans="7:7" s="72" customFormat="1" x14ac:dyDescent="0.2">
      <c r="G118" s="147"/>
    </row>
    <row r="119" spans="7:7" s="72" customFormat="1" x14ac:dyDescent="0.2">
      <c r="G119" s="147"/>
    </row>
  </sheetData>
  <mergeCells count="13">
    <mergeCell ref="A1:G1"/>
    <mergeCell ref="H16:H17"/>
    <mergeCell ref="H21:H22"/>
    <mergeCell ref="H30:H31"/>
    <mergeCell ref="H40:H45"/>
    <mergeCell ref="G41:G44"/>
    <mergeCell ref="G88:G91"/>
    <mergeCell ref="G46:G47"/>
    <mergeCell ref="G52:G53"/>
    <mergeCell ref="B67:G67"/>
    <mergeCell ref="G77:G81"/>
    <mergeCell ref="G82:G85"/>
    <mergeCell ref="G86:G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Содержание</vt:lpstr>
      <vt:lpstr>Базовые параметры</vt:lpstr>
      <vt:lpstr>Исходные данные</vt:lpstr>
      <vt:lpstr>Градостроительная модель</vt:lpstr>
      <vt:lpstr>Экономическая модель проекта</vt:lpstr>
      <vt:lpstr>Калькулятор чувствительности</vt:lpstr>
      <vt:lpstr>Графики</vt:lpstr>
      <vt:lpstr>Вспомогательный лист (Э)</vt:lpstr>
      <vt:lpstr>Вспомогательный лист (Г)</vt:lpstr>
      <vt:lpstr>'Базовые параметры'!_ftn1</vt:lpstr>
      <vt:lpstr>'Базовые параметры'!_ftnref1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Пользователь</cp:lastModifiedBy>
  <dcterms:created xsi:type="dcterms:W3CDTF">2018-10-09T09:49:09Z</dcterms:created>
  <dcterms:modified xsi:type="dcterms:W3CDTF">2022-06-07T13:01:24Z</dcterms:modified>
</cp:coreProperties>
</file>